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mc:AlternateContent xmlns:mc="http://schemas.openxmlformats.org/markup-compatibility/2006">
    <mc:Choice Requires="x15">
      <x15ac:absPath xmlns:x15ac="http://schemas.microsoft.com/office/spreadsheetml/2010/11/ac" url="C:\Users\bbonney\Documents\"/>
    </mc:Choice>
  </mc:AlternateContent>
  <xr:revisionPtr revIDLastSave="0" documentId="8_{C4625947-02ED-430C-8A0A-1F5919509E91}" xr6:coauthVersionLast="36" xr6:coauthVersionMax="36" xr10:uidLastSave="{00000000-0000-0000-0000-000000000000}"/>
  <workbookProtection workbookAlgorithmName="SHA-512" workbookHashValue="GijeffpIefoGZsI+lj1ZkFHJqOp8rBlwF8bO/VxLv/FGC9OPz7fyniRmegxahchpS7OM/ZnpG372fsE2P3pmXA==" workbookSaltValue="bLAhgj76V0KRSob/mrcZlw==" workbookSpinCount="100000" lockStructure="1"/>
  <bookViews>
    <workbookView xWindow="0" yWindow="0" windowWidth="28800" windowHeight="12225" tabRatio="583" xr2:uid="{00000000-000D-0000-FFFF-FFFF00000000}"/>
  </bookViews>
  <sheets>
    <sheet name="Cost Calculator" sheetId="1" r:id="rId1"/>
    <sheet name="Tax Rates" sheetId="4" r:id="rId2"/>
    <sheet name="Allowed Cost" sheetId="6" state="hidden" r:id="rId3"/>
    <sheet name="Payroll Contributions" sheetId="2" state="hidden" r:id="rId4"/>
  </sheets>
  <definedNames>
    <definedName name="EE_HSA_Contrib">'Cost Calculator'!$B$15</definedName>
    <definedName name="_xlnm.Print_Area" localSheetId="0">'Cost Calculator'!$A$1:$K$59</definedName>
    <definedName name="tax_rate">'Cost Calculator'!$B$14</definedName>
    <definedName name="Tier">'Cost Calculator'!$B$10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2" l="1"/>
  <c r="B11" i="1"/>
  <c r="B6" i="1" l="1"/>
  <c r="B13" i="1" l="1"/>
  <c r="B12" i="1"/>
  <c r="J42" i="1" l="1"/>
  <c r="J43" i="1"/>
  <c r="J45" i="1" s="1"/>
  <c r="J44" i="1" l="1"/>
  <c r="H42" i="1"/>
  <c r="H44" i="1" s="1"/>
  <c r="J63" i="1" l="1"/>
  <c r="C9" i="2"/>
  <c r="AD34" i="1" l="1"/>
  <c r="AD33" i="1"/>
  <c r="AD32" i="1"/>
  <c r="AD31" i="1"/>
  <c r="AD30" i="1"/>
  <c r="AD29" i="1"/>
  <c r="AD28" i="1"/>
  <c r="AD27" i="1"/>
  <c r="AD26" i="1"/>
  <c r="AD25" i="1"/>
  <c r="AD24" i="1"/>
  <c r="AD22" i="1"/>
  <c r="AD23" i="1"/>
  <c r="AO33" i="1" l="1"/>
  <c r="AM33" i="1"/>
  <c r="AB8" i="1" l="1"/>
  <c r="AA9" i="1"/>
  <c r="BA32" i="1" l="1"/>
  <c r="AW32" i="1"/>
  <c r="AS32" i="1"/>
  <c r="AO32" i="1"/>
  <c r="BA23" i="1"/>
  <c r="BA24" i="1"/>
  <c r="BA25" i="1"/>
  <c r="BA26" i="1"/>
  <c r="BA27" i="1"/>
  <c r="BA28" i="1"/>
  <c r="BA29" i="1"/>
  <c r="BA30" i="1"/>
  <c r="BA31" i="1"/>
  <c r="BA33" i="1"/>
  <c r="BA34" i="1"/>
  <c r="BA22" i="1"/>
  <c r="AW27" i="1"/>
  <c r="AW34" i="1"/>
  <c r="AW23" i="1"/>
  <c r="AW24" i="1"/>
  <c r="AW25" i="1"/>
  <c r="AW26" i="1"/>
  <c r="AW28" i="1"/>
  <c r="AW29" i="1"/>
  <c r="AW30" i="1"/>
  <c r="AW31" i="1"/>
  <c r="AW33" i="1"/>
  <c r="AW22" i="1"/>
  <c r="BA16" i="1" l="1"/>
  <c r="AW16" i="1"/>
  <c r="AS29" i="1"/>
  <c r="AS25" i="1"/>
  <c r="AS26" i="1"/>
  <c r="AS27" i="1"/>
  <c r="AS28" i="1"/>
  <c r="AS30" i="1"/>
  <c r="AS31" i="1"/>
  <c r="AS33" i="1"/>
  <c r="AS34" i="1"/>
  <c r="AS24" i="1"/>
  <c r="AS23" i="1"/>
  <c r="AS22" i="1"/>
  <c r="AS16" i="1" l="1"/>
  <c r="D9" i="2" l="1"/>
  <c r="E9" i="2" s="1"/>
  <c r="C10" i="2"/>
  <c r="C11" i="2"/>
  <c r="D11" i="2" s="1"/>
  <c r="C12" i="2"/>
  <c r="D12" i="2" s="1"/>
  <c r="D10" i="2" l="1"/>
  <c r="E10" i="2" s="1"/>
  <c r="J64" i="1" s="1"/>
  <c r="E12" i="2"/>
  <c r="E11" i="2"/>
  <c r="AB9" i="1"/>
  <c r="AA8" i="1"/>
  <c r="F13" i="1" l="1"/>
  <c r="F12" i="1"/>
  <c r="F11" i="1"/>
  <c r="I2" i="2" l="1"/>
  <c r="H2" i="2"/>
  <c r="G2" i="2"/>
  <c r="AZ34" i="1" l="1"/>
  <c r="AZ33" i="1"/>
  <c r="AY34" i="1"/>
  <c r="AY33" i="1"/>
  <c r="AV34" i="1"/>
  <c r="AV33" i="1"/>
  <c r="AU34" i="1"/>
  <c r="AU33" i="1"/>
  <c r="AR34" i="1"/>
  <c r="AR33" i="1"/>
  <c r="AQ34" i="1"/>
  <c r="AQ33" i="1"/>
  <c r="AN34" i="1"/>
  <c r="AN33" i="1"/>
  <c r="AM34" i="1"/>
  <c r="G22" i="1"/>
  <c r="G26" i="1"/>
  <c r="G27" i="1"/>
  <c r="G28" i="1"/>
  <c r="G29" i="1"/>
  <c r="G30" i="1"/>
  <c r="G31" i="1"/>
  <c r="G32" i="1"/>
  <c r="G33" i="1"/>
  <c r="G34" i="1"/>
  <c r="I34" i="1"/>
  <c r="I33" i="1"/>
  <c r="H34" i="1"/>
  <c r="H33" i="1"/>
  <c r="S34" i="1"/>
  <c r="W34" i="1" s="1"/>
  <c r="S33" i="1"/>
  <c r="W33" i="1" s="1"/>
  <c r="S32" i="1"/>
  <c r="W32" i="1" s="1"/>
  <c r="S31" i="1"/>
  <c r="S30" i="1"/>
  <c r="S29" i="1"/>
  <c r="W29" i="1" s="1"/>
  <c r="S28" i="1"/>
  <c r="W28" i="1" s="1"/>
  <c r="S27" i="1"/>
  <c r="W27" i="1" s="1"/>
  <c r="S26" i="1"/>
  <c r="W26" i="1" s="1"/>
  <c r="S25" i="1"/>
  <c r="AZ25" i="1" s="1"/>
  <c r="S24" i="1"/>
  <c r="AY24" i="1" s="1"/>
  <c r="S23" i="1"/>
  <c r="AZ23" i="1" s="1"/>
  <c r="S22" i="1"/>
  <c r="W22" i="1" s="1"/>
  <c r="R34" i="1"/>
  <c r="V34" i="1" s="1"/>
  <c r="R33" i="1"/>
  <c r="V33" i="1" s="1"/>
  <c r="R32" i="1"/>
  <c r="V32" i="1" s="1"/>
  <c r="R31" i="1"/>
  <c r="R30" i="1"/>
  <c r="R29" i="1"/>
  <c r="V29" i="1" s="1"/>
  <c r="R28" i="1"/>
  <c r="V28" i="1" s="1"/>
  <c r="R27" i="1"/>
  <c r="V27" i="1" s="1"/>
  <c r="R26" i="1"/>
  <c r="V26" i="1" s="1"/>
  <c r="R25" i="1"/>
  <c r="AU25" i="1" s="1"/>
  <c r="R24" i="1"/>
  <c r="AU24" i="1" s="1"/>
  <c r="R23" i="1"/>
  <c r="AV23" i="1" s="1"/>
  <c r="R22" i="1"/>
  <c r="V22" i="1" s="1"/>
  <c r="Q34" i="1"/>
  <c r="Q33" i="1"/>
  <c r="Q32" i="1"/>
  <c r="Q31" i="1"/>
  <c r="AR31" i="1" s="1"/>
  <c r="Q30" i="1"/>
  <c r="AR30" i="1" s="1"/>
  <c r="Q29" i="1"/>
  <c r="Q28" i="1"/>
  <c r="AR28" i="1" s="1"/>
  <c r="Q27" i="1"/>
  <c r="AR27" i="1" s="1"/>
  <c r="Q26" i="1"/>
  <c r="AR26" i="1" s="1"/>
  <c r="Q25" i="1"/>
  <c r="AR25" i="1" s="1"/>
  <c r="Q24" i="1"/>
  <c r="Q23" i="1"/>
  <c r="U23" i="1" s="1"/>
  <c r="Q22" i="1"/>
  <c r="P34" i="1"/>
  <c r="T34" i="1" s="1"/>
  <c r="P33" i="1"/>
  <c r="T33" i="1" s="1"/>
  <c r="P32" i="1"/>
  <c r="T32" i="1" s="1"/>
  <c r="P31" i="1"/>
  <c r="P30" i="1"/>
  <c r="P29" i="1"/>
  <c r="T29" i="1" s="1"/>
  <c r="P28" i="1"/>
  <c r="AN28" i="1" s="1"/>
  <c r="P27" i="1"/>
  <c r="T27" i="1" s="1"/>
  <c r="P26" i="1"/>
  <c r="T26" i="1" s="1"/>
  <c r="P25" i="1"/>
  <c r="AN25" i="1" s="1"/>
  <c r="P24" i="1"/>
  <c r="AN24" i="1" s="1"/>
  <c r="P23" i="1"/>
  <c r="AN23" i="1" s="1"/>
  <c r="P22" i="1"/>
  <c r="T22" i="1" s="1"/>
  <c r="AO34" i="1"/>
  <c r="AO31" i="1"/>
  <c r="AO30" i="1"/>
  <c r="AO29" i="1"/>
  <c r="AO28" i="1"/>
  <c r="AO27" i="1"/>
  <c r="AO26" i="1"/>
  <c r="AO25" i="1"/>
  <c r="AO24" i="1"/>
  <c r="AO23" i="1"/>
  <c r="AO22" i="1"/>
  <c r="Z9" i="1"/>
  <c r="AM32" i="1" l="1"/>
  <c r="AO16" i="1"/>
  <c r="BE16" i="1" s="1"/>
  <c r="AN26" i="1"/>
  <c r="AM26" i="1"/>
  <c r="AM24" i="1"/>
  <c r="AM31" i="1"/>
  <c r="AN31" i="1"/>
  <c r="T30" i="1"/>
  <c r="AN30" i="1"/>
  <c r="AN27" i="1"/>
  <c r="AM27" i="1"/>
  <c r="AV27" i="1"/>
  <c r="AQ26" i="1"/>
  <c r="AV28" i="1"/>
  <c r="V30" i="1"/>
  <c r="AV30" i="1"/>
  <c r="AQ28" i="1"/>
  <c r="AZ26" i="1"/>
  <c r="W31" i="1"/>
  <c r="AZ31" i="1"/>
  <c r="V31" i="1"/>
  <c r="AV31" i="1"/>
  <c r="W30" i="1"/>
  <c r="AZ30" i="1"/>
  <c r="AV25" i="1"/>
  <c r="I25" i="1" s="1"/>
  <c r="AZ28" i="1"/>
  <c r="AN32" i="1"/>
  <c r="AM29" i="1"/>
  <c r="AN29" i="1"/>
  <c r="T28" i="1"/>
  <c r="AM28" i="1"/>
  <c r="AM25" i="1"/>
  <c r="AM22" i="1"/>
  <c r="AV26" i="1"/>
  <c r="AU27" i="1"/>
  <c r="AY25" i="1"/>
  <c r="AY27" i="1"/>
  <c r="AQ25" i="1"/>
  <c r="AQ27" i="1"/>
  <c r="AZ27" i="1"/>
  <c r="AU26" i="1"/>
  <c r="AU28" i="1"/>
  <c r="AY26" i="1"/>
  <c r="AY28" i="1"/>
  <c r="U30" i="1"/>
  <c r="O30" i="1"/>
  <c r="O25" i="1"/>
  <c r="U29" i="1"/>
  <c r="O29" i="1"/>
  <c r="U33" i="1"/>
  <c r="O33" i="1"/>
  <c r="U26" i="1"/>
  <c r="O26" i="1"/>
  <c r="AQ23" i="1"/>
  <c r="O23" i="1"/>
  <c r="U27" i="1"/>
  <c r="O27" i="1"/>
  <c r="U31" i="1"/>
  <c r="O31" i="1"/>
  <c r="U22" i="1"/>
  <c r="O22" i="1"/>
  <c r="U34" i="1"/>
  <c r="O34" i="1"/>
  <c r="AR24" i="1"/>
  <c r="O24" i="1"/>
  <c r="U28" i="1"/>
  <c r="O28" i="1"/>
  <c r="U32" i="1"/>
  <c r="O32" i="1"/>
  <c r="AM23" i="1"/>
  <c r="AM30" i="1"/>
  <c r="T31" i="1"/>
  <c r="AU31" i="1"/>
  <c r="AR23" i="1"/>
  <c r="AV24" i="1"/>
  <c r="AR29" i="1"/>
  <c r="AZ22" i="1"/>
  <c r="AV22" i="1"/>
  <c r="AY31" i="1"/>
  <c r="AZ24" i="1"/>
  <c r="AQ29" i="1"/>
  <c r="AU22" i="1"/>
  <c r="AU30" i="1"/>
  <c r="AY22" i="1"/>
  <c r="AY30" i="1"/>
  <c r="AQ32" i="1"/>
  <c r="AQ24" i="1"/>
  <c r="AQ30" i="1"/>
  <c r="AU23" i="1"/>
  <c r="AU29" i="1"/>
  <c r="AU32" i="1"/>
  <c r="AY23" i="1"/>
  <c r="AY29" i="1"/>
  <c r="AY32" i="1"/>
  <c r="AR32" i="1"/>
  <c r="AQ31" i="1"/>
  <c r="AV29" i="1"/>
  <c r="AV32" i="1"/>
  <c r="AZ29" i="1"/>
  <c r="AZ32" i="1"/>
  <c r="AN22" i="1"/>
  <c r="AQ22" i="1"/>
  <c r="AR22" i="1"/>
  <c r="AR11" i="1" l="1"/>
  <c r="I27" i="1"/>
  <c r="I28" i="1"/>
  <c r="H27" i="1"/>
  <c r="H25" i="1"/>
  <c r="I26" i="1"/>
  <c r="H26" i="1"/>
  <c r="H22" i="1"/>
  <c r="H28" i="1"/>
  <c r="I30" i="1"/>
  <c r="I22" i="1"/>
  <c r="I29" i="1"/>
  <c r="I31" i="1"/>
  <c r="G23" i="1"/>
  <c r="T23" i="1" l="1"/>
  <c r="W23" i="1"/>
  <c r="V23" i="1"/>
  <c r="G25" i="1"/>
  <c r="G24" i="1"/>
  <c r="J29" i="1"/>
  <c r="J30" i="1"/>
  <c r="J31" i="1"/>
  <c r="W24" i="1" l="1"/>
  <c r="V24" i="1"/>
  <c r="T24" i="1"/>
  <c r="U24" i="1"/>
  <c r="V25" i="1"/>
  <c r="AV13" i="1" s="1"/>
  <c r="U25" i="1"/>
  <c r="AR13" i="1" s="1"/>
  <c r="T25" i="1"/>
  <c r="AO11" i="1" s="1"/>
  <c r="AO12" i="1" s="1"/>
  <c r="W25" i="1"/>
  <c r="J34" i="1"/>
  <c r="J33" i="1"/>
  <c r="J32" i="1"/>
  <c r="J28" i="1"/>
  <c r="J27" i="1"/>
  <c r="J26" i="1"/>
  <c r="J25" i="1"/>
  <c r="J24" i="1"/>
  <c r="J23" i="1"/>
  <c r="J22" i="1"/>
  <c r="I24" i="1"/>
  <c r="I23" i="1"/>
  <c r="H31" i="1"/>
  <c r="H30" i="1"/>
  <c r="H29" i="1"/>
  <c r="H24" i="1"/>
  <c r="H23" i="1"/>
  <c r="BA11" i="1" l="1"/>
  <c r="BA12" i="1" s="1"/>
  <c r="AW11" i="1"/>
  <c r="AW12" i="1" s="1"/>
  <c r="AO13" i="1"/>
  <c r="AS13" i="1"/>
  <c r="AS11" i="1"/>
  <c r="BA13" i="1"/>
  <c r="AW13" i="1"/>
  <c r="AZ13" i="1"/>
  <c r="AU13" i="1"/>
  <c r="AV11" i="1"/>
  <c r="AV12" i="1" s="1"/>
  <c r="AZ11" i="1"/>
  <c r="AZ12" i="1" s="1"/>
  <c r="AY13" i="1"/>
  <c r="AN13" i="1"/>
  <c r="AM13" i="1"/>
  <c r="AN11" i="1"/>
  <c r="AQ13" i="1"/>
  <c r="AR12" i="1"/>
  <c r="AU16" i="1"/>
  <c r="AY16" i="1"/>
  <c r="BA14" i="1" l="1"/>
  <c r="BA15" i="1" s="1"/>
  <c r="AW14" i="1"/>
  <c r="AW15" i="1" s="1"/>
  <c r="AS12" i="1"/>
  <c r="AS14" i="1" s="1"/>
  <c r="AS15" i="1" s="1"/>
  <c r="BE11" i="1"/>
  <c r="J35" i="1" s="1"/>
  <c r="BD11" i="1"/>
  <c r="I35" i="1" s="1"/>
  <c r="AZ14" i="1"/>
  <c r="AV14" i="1"/>
  <c r="I32" i="1"/>
  <c r="H32" i="1"/>
  <c r="AR14" i="1"/>
  <c r="AN12" i="1"/>
  <c r="AN14" i="1" s="1"/>
  <c r="AQ16" i="1"/>
  <c r="AZ16" i="1"/>
  <c r="AR16" i="1"/>
  <c r="H62" i="1"/>
  <c r="I62" i="1"/>
  <c r="J62" i="1"/>
  <c r="AR15" i="1" l="1"/>
  <c r="AZ15" i="1"/>
  <c r="AV16" i="1"/>
  <c r="AV15" i="1" s="1"/>
  <c r="AM16" i="1"/>
  <c r="BC16" i="1" s="1"/>
  <c r="I42" i="1" l="1"/>
  <c r="J46" i="1" l="1"/>
  <c r="Z4" i="1" s="1"/>
  <c r="I44" i="1"/>
  <c r="AO14" i="1" l="1"/>
  <c r="AO15" i="1" s="1"/>
  <c r="BE15" i="1" l="1"/>
  <c r="J36" i="1" s="1"/>
  <c r="J37" i="1" l="1"/>
  <c r="J38" i="1" l="1"/>
  <c r="J41" i="1" s="1"/>
  <c r="J47" i="1" s="1"/>
  <c r="J48" i="1" l="1"/>
  <c r="J49" i="1" s="1"/>
  <c r="F69" i="1" s="1"/>
  <c r="AN16" i="1" l="1"/>
  <c r="BD16" i="1" s="1"/>
  <c r="AN15" i="1" l="1"/>
  <c r="BD15" i="1" s="1"/>
  <c r="I36" i="1" l="1"/>
  <c r="I37" i="1" s="1"/>
  <c r="I38" i="1" s="1"/>
  <c r="I41" i="1" s="1"/>
  <c r="I47" i="1" l="1"/>
  <c r="I49" i="1" s="1"/>
  <c r="F68" i="1" s="1"/>
  <c r="AU11" i="1"/>
  <c r="AU12" i="1" s="1"/>
  <c r="AU14" i="1" s="1"/>
  <c r="AU15" i="1" s="1"/>
  <c r="AM11" i="1" l="1"/>
  <c r="AQ11" i="1"/>
  <c r="AQ12" i="1" s="1"/>
  <c r="AQ14" i="1" s="1"/>
  <c r="AQ15" i="1" s="1"/>
  <c r="AY11" i="1"/>
  <c r="AY12" i="1" s="1"/>
  <c r="AY14" i="1" s="1"/>
  <c r="AY15" i="1" s="1"/>
  <c r="AM12" i="1" l="1"/>
  <c r="AM14" i="1" s="1"/>
  <c r="AM15" i="1" s="1"/>
  <c r="BC15" i="1" s="1"/>
  <c r="H36" i="1" s="1"/>
  <c r="H37" i="1" s="1"/>
  <c r="H38" i="1" s="1"/>
  <c r="H41" i="1" s="1"/>
  <c r="BC11" i="1"/>
  <c r="H35" i="1" s="1"/>
  <c r="H47" i="1" l="1"/>
  <c r="H49" i="1" s="1"/>
  <c r="F67" i="1" s="1"/>
  <c r="H71" i="1" s="1"/>
  <c r="H72" i="1" s="1"/>
</calcChain>
</file>

<file path=xl/sharedStrings.xml><?xml version="1.0" encoding="utf-8"?>
<sst xmlns="http://schemas.openxmlformats.org/spreadsheetml/2006/main" count="333" uniqueCount="134">
  <si>
    <t>Enrollment Tier</t>
  </si>
  <si>
    <t>Physician Visit(s)</t>
  </si>
  <si>
    <t>Specialists Visit(s)</t>
  </si>
  <si>
    <t>Mental Health and Substance Abuse Visit(s)</t>
  </si>
  <si>
    <t>Physical Therapy Visit(s) - outpatient rehab</t>
  </si>
  <si>
    <t>CT Scan(s)</t>
  </si>
  <si>
    <t>MRI(s)</t>
  </si>
  <si>
    <t>X-ray(s)</t>
  </si>
  <si>
    <t>Rx (Tier 1) Script(s) - retail</t>
  </si>
  <si>
    <t>Rx (Tier 2) Script(s) - retail</t>
  </si>
  <si>
    <t>Rx (Tier 3) Script(s) - retail</t>
  </si>
  <si>
    <t>Emergency Room Visit(s) - no overnight stay</t>
  </si>
  <si>
    <t>Outpatient Visit(s)</t>
  </si>
  <si>
    <t>VALUES:</t>
  </si>
  <si>
    <t>Best Option Value</t>
  </si>
  <si>
    <t>Best Option Index</t>
  </si>
  <si>
    <t>Family</t>
  </si>
  <si>
    <t>HDHP</t>
  </si>
  <si>
    <t>Employee</t>
  </si>
  <si>
    <t>Services</t>
  </si>
  <si>
    <t>EE &amp; Spouse</t>
  </si>
  <si>
    <t>EE &amp; Child(ren)</t>
  </si>
  <si>
    <t>EE HSA Seed</t>
  </si>
  <si>
    <t>Financial Summary</t>
  </si>
  <si>
    <t>Employee Demographics</t>
  </si>
  <si>
    <t>In-network Costs</t>
  </si>
  <si>
    <t>Member Cost Share</t>
  </si>
  <si>
    <t>Amount Applied to the Deductible</t>
  </si>
  <si>
    <t>Amount Applied to the Out-of-Pocket Maximum</t>
  </si>
  <si>
    <t>Total Member Cost Share</t>
  </si>
  <si>
    <t>Deductible</t>
  </si>
  <si>
    <t>Y</t>
  </si>
  <si>
    <t>N</t>
  </si>
  <si>
    <t>Coinsurance</t>
  </si>
  <si>
    <t>n/a</t>
  </si>
  <si>
    <t>Copay</t>
  </si>
  <si>
    <t>Copays</t>
  </si>
  <si>
    <t>Deductible Applied</t>
  </si>
  <si>
    <t>Allowed Coinsurance</t>
  </si>
  <si>
    <t>Weighted Coinsurance</t>
  </si>
  <si>
    <t>Member Coinsurance</t>
  </si>
  <si>
    <t>Member Out of Pocket</t>
  </si>
  <si>
    <t>Allowed Cost</t>
  </si>
  <si>
    <t>Remaining HSA Balance</t>
  </si>
  <si>
    <t>Total Member Cost Share (Net of HSA)</t>
  </si>
  <si>
    <t>Your Total Annual Cost (Net of HSA)</t>
  </si>
  <si>
    <t>ER HSA Seed</t>
  </si>
  <si>
    <t>Out-of-Pocket</t>
  </si>
  <si>
    <t>Step 1: Select your Enrollment Tier from the drop down menu.</t>
  </si>
  <si>
    <t xml:space="preserve">Step 4: Estimate the number of services you and your dependents receive throughout the course of a plan year. </t>
  </si>
  <si>
    <t>Monthly Max</t>
  </si>
  <si>
    <t>Single - Ded.</t>
  </si>
  <si>
    <t>Family - Ded.</t>
  </si>
  <si>
    <t>Single - OOP Max</t>
  </si>
  <si>
    <t>Family - OOP Max</t>
  </si>
  <si>
    <t>Inpatient Visit(s)</t>
  </si>
  <si>
    <t>HSA Limit</t>
  </si>
  <si>
    <t># of Services</t>
  </si>
  <si>
    <t>Person</t>
  </si>
  <si>
    <t>Person 1</t>
  </si>
  <si>
    <t>Person 2</t>
  </si>
  <si>
    <t>Total Services</t>
  </si>
  <si>
    <t>Person 3</t>
  </si>
  <si>
    <t>Person 4</t>
  </si>
  <si>
    <t>Total</t>
  </si>
  <si>
    <t xml:space="preserve">Person </t>
  </si>
  <si>
    <t>Cost</t>
  </si>
  <si>
    <t>PPO</t>
  </si>
  <si>
    <t>ACO</t>
  </si>
  <si>
    <t>Tier 1!</t>
  </si>
  <si>
    <t>emb.</t>
  </si>
  <si>
    <t>Total member cost share</t>
  </si>
  <si>
    <t>Annual payroll deduction</t>
  </si>
  <si>
    <t>Employee HSA contribution</t>
  </si>
  <si>
    <t>Tax savings for payroll deduction</t>
  </si>
  <si>
    <t>Tax deduction for personal HSA contribution</t>
  </si>
  <si>
    <t>Your Total Annual Cost</t>
  </si>
  <si>
    <t>&lt;---the tool's original formula assumed a NON embedded HDHP</t>
  </si>
  <si>
    <t>Monthly EE Share</t>
  </si>
  <si>
    <t>NOTE: Savings values are estimates only, they are not guaranteed.  Also, Out-of-Network costs are not taken into account.</t>
  </si>
  <si>
    <t>Utilization and Unit Cost by Medical Cost Category*</t>
  </si>
  <si>
    <t>Paid Amount Per Member</t>
  </si>
  <si>
    <t>Utilization Per 1,000</t>
  </si>
  <si>
    <t>Unit Cost</t>
  </si>
  <si>
    <t xml:space="preserve"> </t>
  </si>
  <si>
    <t xml:space="preserve">Prior </t>
  </si>
  <si>
    <t>Current</t>
  </si>
  <si>
    <t>% Change</t>
  </si>
  <si>
    <t xml:space="preserve">  </t>
  </si>
  <si>
    <t>Prior</t>
  </si>
  <si>
    <t xml:space="preserve">Facility: </t>
  </si>
  <si>
    <t xml:space="preserve">  Inpatient Days</t>
  </si>
  <si>
    <t xml:space="preserve">  Ambulatory Visits</t>
  </si>
  <si>
    <t xml:space="preserve">  Emergency Room Visits</t>
  </si>
  <si>
    <t xml:space="preserve">Subtotal Facility: </t>
  </si>
  <si>
    <t xml:space="preserve">Professional: </t>
  </si>
  <si>
    <t xml:space="preserve">  Specialist Office Visits</t>
  </si>
  <si>
    <t xml:space="preserve">  Primary Office Visits</t>
  </si>
  <si>
    <t xml:space="preserve">  Surgeries - Inpatient</t>
  </si>
  <si>
    <t xml:space="preserve">  Surgeries Ambulatory Facility</t>
  </si>
  <si>
    <t xml:space="preserve">  Surgeries - Office</t>
  </si>
  <si>
    <t xml:space="preserve">  Medical Service Visits</t>
  </si>
  <si>
    <t xml:space="preserve">Subtotal Professional: </t>
  </si>
  <si>
    <t xml:space="preserve">Ancillary: </t>
  </si>
  <si>
    <t xml:space="preserve">  Radiology Services</t>
  </si>
  <si>
    <t xml:space="preserve">  Lab Services</t>
  </si>
  <si>
    <t xml:space="preserve">  Home Health Visits</t>
  </si>
  <si>
    <t xml:space="preserve">  Mental Health Visits</t>
  </si>
  <si>
    <t xml:space="preserve">  Medical Pharmacy</t>
  </si>
  <si>
    <t xml:space="preserve">Subtotal Ancillary: </t>
  </si>
  <si>
    <t>Grand Total</t>
  </si>
  <si>
    <t>Base</t>
  </si>
  <si>
    <t>Employer HSA contribution (Base + Applicable Match)</t>
  </si>
  <si>
    <r>
      <rPr>
        <b/>
        <u/>
        <sz val="11"/>
        <rFont val="Times New Roman"/>
        <family val="1"/>
      </rPr>
      <t>Employee</t>
    </r>
    <r>
      <rPr>
        <sz val="11"/>
        <rFont val="Times New Roman"/>
        <family val="1"/>
      </rPr>
      <t xml:space="preserve"> Monthly HSA Contribution</t>
    </r>
  </si>
  <si>
    <t>Capped Match</t>
  </si>
  <si>
    <r>
      <t xml:space="preserve">Employer </t>
    </r>
    <r>
      <rPr>
        <b/>
        <u/>
        <sz val="11"/>
        <color theme="1"/>
        <rFont val="Calibri"/>
        <family val="2"/>
        <scheme val="minor"/>
      </rPr>
      <t>Annual</t>
    </r>
    <r>
      <rPr>
        <b/>
        <sz val="11"/>
        <color theme="1"/>
        <rFont val="Calibri"/>
        <family val="2"/>
        <scheme val="minor"/>
      </rPr>
      <t xml:space="preserve"> HSA Contributions</t>
    </r>
  </si>
  <si>
    <t xml:space="preserve">Step 2: Enter your Personal Tax Rate. Check the Tax Rates Tab for more information. </t>
  </si>
  <si>
    <t>Personal Tax Rate (refer to Tax Rates tab)</t>
  </si>
  <si>
    <t>Please complete the grey shaded cells as directed in Steps 1 - 4. Cells that are not shaded in grey will auto populate.</t>
  </si>
  <si>
    <t>entry cells are shaded in this color</t>
  </si>
  <si>
    <t>Tax Rate</t>
  </si>
  <si>
    <t>Single Filers</t>
  </si>
  <si>
    <t>Married Filing Jointly or Qualifying Widow/Widower</t>
  </si>
  <si>
    <t>Married Filing Separately</t>
  </si>
  <si>
    <t>Head of Household</t>
  </si>
  <si>
    <t>and</t>
  </si>
  <si>
    <t>up</t>
  </si>
  <si>
    <t>pull from Current Cost, or round up, or keep same as last year, all depends on how drastic change was from prior year and how reasonable the # seems</t>
  </si>
  <si>
    <r>
      <t xml:space="preserve">Inpatient Visit(s) </t>
    </r>
    <r>
      <rPr>
        <b/>
        <sz val="11"/>
        <color rgb="FFFF0000"/>
        <rFont val="Times New Roman"/>
        <family val="1"/>
      </rPr>
      <t>*Aetna HIP Not Included</t>
    </r>
  </si>
  <si>
    <r>
      <t>*</t>
    </r>
    <r>
      <rPr>
        <b/>
        <sz val="11"/>
        <rFont val="Times New Roman"/>
        <family val="1"/>
      </rPr>
      <t>Aetna’s Hospital Indemnity Plan (HIP)</t>
    </r>
    <r>
      <rPr>
        <sz val="11"/>
        <rFont val="Times New Roman"/>
        <family val="1"/>
      </rPr>
      <t xml:space="preserve"> offers additional coverage to protect you and your family from the financial exposure of unexpected costs or claims, specifically for hospital admissions.  The plan provides a $1,000 lump sum payment for initial inpatient hospital stays, one payment per calendar year, per member.  Note: This $1,000 benefit is</t>
    </r>
    <r>
      <rPr>
        <b/>
        <sz val="11"/>
        <rFont val="Times New Roman"/>
        <family val="1"/>
      </rPr>
      <t xml:space="preserve"> not </t>
    </r>
    <r>
      <rPr>
        <sz val="11"/>
        <rFont val="Times New Roman"/>
        <family val="1"/>
      </rPr>
      <t>accounted for in the above calculations. 
     ▪ Employees who enroll in the HDHP plan are provided with the HIP at no additional cost. You will automatically be enrolled at the same coverage tier as your medical plan. 
     ▪ Employees who enroll in the ACO or PPO plans, or who waive medical coverage, can purchase this additional benefit through payroll contributions.
 For more information on other benefits this plan provides, please refer to your Benefits Guidebook.</t>
    </r>
  </si>
  <si>
    <t>PRESIDENT AND TRUSTEES OF BATES COLLEGE - 0000000081806089</t>
  </si>
  <si>
    <t>Current Data For Claims Incurred August 01, 2020 - July 31, 2021 with 2 months lag</t>
  </si>
  <si>
    <t>David Kim pulled his report from Aetna portal</t>
  </si>
  <si>
    <t>2022 Tax Brackets (for taxes due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</si>
</sst>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quot;$&quot;#,##0"/>
    <numFmt numFmtId="165" formatCode="&quot;$&quot;#,##0.00"/>
    <numFmt numFmtId="166" formatCode="&quot;$&quot;#,##0.0_);[Red]\(&quot;$&quot;#,##0.0\)"/>
    <numFmt numFmtId="167" formatCode="0.0%"/>
    <numFmt numFmtId="168" formatCode="#,##0.0%"/>
    <numFmt numFmtId="169" formatCode="&quot;$&quot;#,##0.000_);[Red]\(&quot;$&quot;#,##0.000\)"/>
  </numFmts>
  <fonts count="45" x14ac:knownFonts="1">
    <font>
      <sz val="11"/>
      <color theme="1"/>
      <name val="Calibri"/>
      <family val="2"/>
      <scheme val="minor"/>
    </font>
    <font>
      <sz val="11"/>
      <color theme="1"/>
      <name val="Calibri"/>
      <family val="2"/>
      <scheme val="minor"/>
    </font>
    <font>
      <sz val="10"/>
      <name val="Arial"/>
      <family val="2"/>
    </font>
    <font>
      <sz val="12"/>
      <name val="Arial"/>
      <family val="2"/>
    </font>
    <font>
      <b/>
      <sz val="10"/>
      <color theme="0" tint="-0.499984740745262"/>
      <name val="Arial"/>
      <family val="2"/>
    </font>
    <font>
      <sz val="10"/>
      <color theme="0" tint="-0.499984740745262"/>
      <name val="Arial"/>
      <family val="2"/>
    </font>
    <font>
      <sz val="10"/>
      <color rgb="FF000000"/>
      <name val="Arial"/>
      <family val="2"/>
    </font>
    <font>
      <b/>
      <sz val="11"/>
      <color theme="1"/>
      <name val="Calibri"/>
      <family val="2"/>
      <scheme val="minor"/>
    </font>
    <font>
      <sz val="14"/>
      <color rgb="FF000000"/>
      <name val="Arial"/>
      <family val="2"/>
    </font>
    <font>
      <u/>
      <sz val="11"/>
      <color theme="10"/>
      <name val="Calibri"/>
      <family val="2"/>
      <scheme val="minor"/>
    </font>
    <font>
      <b/>
      <sz val="11"/>
      <color theme="8"/>
      <name val="Calibri"/>
      <family val="2"/>
      <scheme val="minor"/>
    </font>
    <font>
      <b/>
      <sz val="12"/>
      <name val="Times New Roman"/>
      <family val="1"/>
    </font>
    <font>
      <b/>
      <sz val="11"/>
      <color theme="1"/>
      <name val="Times New Roman"/>
      <family val="1"/>
    </font>
    <font>
      <sz val="12"/>
      <name val="Times New Roman"/>
      <family val="1"/>
    </font>
    <font>
      <sz val="11"/>
      <color theme="1"/>
      <name val="Times New Roman"/>
      <family val="1"/>
    </font>
    <font>
      <sz val="10"/>
      <color theme="1"/>
      <name val="Times New Roman"/>
      <family val="1"/>
    </font>
    <font>
      <b/>
      <sz val="11"/>
      <name val="Times New Roman"/>
      <family val="1"/>
    </font>
    <font>
      <sz val="11"/>
      <name val="Times New Roman"/>
      <family val="1"/>
    </font>
    <font>
      <b/>
      <sz val="11"/>
      <color theme="0"/>
      <name val="Times New Roman"/>
      <family val="1"/>
    </font>
    <font>
      <b/>
      <u/>
      <sz val="11"/>
      <color theme="0"/>
      <name val="Times New Roman"/>
      <family val="1"/>
    </font>
    <font>
      <i/>
      <sz val="11"/>
      <name val="Times New Roman"/>
      <family val="1"/>
    </font>
    <font>
      <b/>
      <i/>
      <sz val="11"/>
      <name val="Times New Roman"/>
      <family val="1"/>
    </font>
    <font>
      <b/>
      <i/>
      <sz val="11"/>
      <color theme="0"/>
      <name val="Times New Roman"/>
      <family val="1"/>
    </font>
    <font>
      <b/>
      <sz val="13"/>
      <color theme="8"/>
      <name val="Times New Roman"/>
      <family val="1"/>
    </font>
    <font>
      <sz val="10"/>
      <color theme="0"/>
      <name val="Times New Roman"/>
      <family val="1"/>
    </font>
    <font>
      <b/>
      <sz val="10"/>
      <color theme="0"/>
      <name val="Times New Roman"/>
      <family val="1"/>
    </font>
    <font>
      <sz val="11"/>
      <color rgb="FFFF0000"/>
      <name val="Calibri"/>
      <family val="2"/>
      <scheme val="minor"/>
    </font>
    <font>
      <sz val="11"/>
      <color rgb="FF000000"/>
      <name val="Calibri"/>
      <family val="2"/>
      <scheme val="minor"/>
    </font>
    <font>
      <b/>
      <sz val="11"/>
      <color rgb="FFFF0000"/>
      <name val="Calibri"/>
      <family val="2"/>
      <scheme val="minor"/>
    </font>
    <font>
      <b/>
      <sz val="10"/>
      <color rgb="FF000000"/>
      <name val="Times New Roman"/>
      <family val="1"/>
    </font>
    <font>
      <b/>
      <u/>
      <sz val="10"/>
      <color rgb="FF000000"/>
      <name val="Times New Roman"/>
      <family val="1"/>
    </font>
    <font>
      <sz val="10"/>
      <color rgb="FF000000"/>
      <name val="Times New Roman"/>
      <family val="1"/>
    </font>
    <font>
      <b/>
      <sz val="12"/>
      <name val="Arial"/>
      <family val="2"/>
    </font>
    <font>
      <b/>
      <i/>
      <sz val="14"/>
      <name val="Arial"/>
      <family val="2"/>
    </font>
    <font>
      <b/>
      <sz val="10"/>
      <name val="Arial"/>
      <family val="2"/>
    </font>
    <font>
      <b/>
      <u/>
      <sz val="10"/>
      <name val="Arial"/>
      <family val="2"/>
    </font>
    <font>
      <b/>
      <u/>
      <sz val="11"/>
      <name val="Times New Roman"/>
      <family val="1"/>
    </font>
    <font>
      <b/>
      <u/>
      <sz val="11"/>
      <color theme="1"/>
      <name val="Calibri"/>
      <family val="2"/>
      <scheme val="minor"/>
    </font>
    <font>
      <b/>
      <sz val="11"/>
      <color theme="0"/>
      <name val="Calibri"/>
      <family val="2"/>
      <scheme val="minor"/>
    </font>
    <font>
      <b/>
      <sz val="12"/>
      <color theme="0"/>
      <name val="Calibri"/>
      <family val="2"/>
      <scheme val="minor"/>
    </font>
    <font>
      <b/>
      <sz val="11"/>
      <color rgb="FFFF0000"/>
      <name val="Times New Roman"/>
      <family val="1"/>
    </font>
    <font>
      <b/>
      <sz val="14"/>
      <color theme="1"/>
      <name val="Times New Roman"/>
      <family val="1"/>
    </font>
    <font>
      <sz val="14"/>
      <color theme="1"/>
      <name val="Times New Roman"/>
      <family val="1"/>
    </font>
    <font>
      <b/>
      <sz val="16"/>
      <color theme="0"/>
      <name val="Times New Roman"/>
      <family val="1"/>
    </font>
    <font>
      <sz val="14"/>
      <name val="Times New Roman"/>
      <family val="1"/>
    </font>
  </fonts>
  <fills count="14">
    <fill>
      <patternFill patternType="none"/>
    </fill>
    <fill>
      <patternFill patternType="gray125"/>
    </fill>
    <fill>
      <patternFill patternType="solid">
        <fgColor rgb="FFC9CED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8"/>
        <bgColor indexed="64"/>
      </patternFill>
    </fill>
    <fill>
      <patternFill patternType="solid">
        <fgColor theme="6" tint="0.7999816888943144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2F75B5"/>
        <bgColor indexed="64"/>
      </patternFill>
    </fill>
    <fill>
      <patternFill patternType="solid">
        <fgColor rgb="FFE6B4B4"/>
        <bgColor indexed="64"/>
      </patternFill>
    </fill>
    <fill>
      <patternFill patternType="solid">
        <fgColor rgb="FF700000"/>
        <bgColor indexed="64"/>
      </patternFill>
    </fill>
    <fill>
      <patternFill patternType="solid">
        <fgColor theme="9" tint="0.59999389629810485"/>
        <bgColor indexed="64"/>
      </patternFill>
    </fill>
    <fill>
      <patternFill patternType="solid">
        <fgColor rgb="FFFFFF00"/>
        <bgColor indexed="64"/>
      </patternFill>
    </fill>
  </fills>
  <borders count="58">
    <border>
      <left/>
      <right/>
      <top/>
      <bottom/>
      <diagonal/>
    </border>
    <border>
      <left style="thin">
        <color indexed="64"/>
      </left>
      <right/>
      <top/>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theme="0"/>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s>
  <cellStyleXfs count="6">
    <xf numFmtId="0" fontId="0" fillId="0" borderId="0"/>
    <xf numFmtId="9" fontId="1" fillId="0" borderId="0" applyFont="0" applyFill="0" applyBorder="0" applyAlignment="0" applyProtection="0"/>
    <xf numFmtId="0" fontId="2" fillId="0" borderId="0"/>
    <xf numFmtId="0" fontId="9" fillId="0" borderId="0" applyNumberFormat="0" applyFill="0" applyBorder="0" applyAlignment="0" applyProtection="0"/>
    <xf numFmtId="44" fontId="1" fillId="0" borderId="0" applyFont="0" applyFill="0" applyBorder="0" applyAlignment="0" applyProtection="0"/>
    <xf numFmtId="0" fontId="2" fillId="0" borderId="0"/>
  </cellStyleXfs>
  <cellXfs count="323">
    <xf numFmtId="0" fontId="0" fillId="0" borderId="0" xfId="0"/>
    <xf numFmtId="0" fontId="0" fillId="0" borderId="0" xfId="0" applyFill="1"/>
    <xf numFmtId="37" fontId="16" fillId="2" borderId="14" xfId="2" applyNumberFormat="1" applyFont="1" applyFill="1" applyBorder="1" applyAlignment="1" applyProtection="1">
      <alignment horizontal="center"/>
      <protection locked="0"/>
    </xf>
    <xf numFmtId="37" fontId="16" fillId="2" borderId="16" xfId="2" applyNumberFormat="1" applyFont="1" applyFill="1" applyBorder="1" applyAlignment="1" applyProtection="1">
      <alignment horizontal="center"/>
      <protection locked="0"/>
    </xf>
    <xf numFmtId="0" fontId="16" fillId="0" borderId="0" xfId="2" applyFont="1" applyFill="1" applyBorder="1" applyAlignment="1" applyProtection="1">
      <alignment vertical="center"/>
      <protection hidden="1"/>
    </xf>
    <xf numFmtId="0" fontId="12" fillId="0" borderId="0" xfId="0" applyFont="1" applyProtection="1">
      <protection hidden="1"/>
    </xf>
    <xf numFmtId="0" fontId="7" fillId="0" borderId="0" xfId="0" applyFont="1" applyProtection="1">
      <protection hidden="1"/>
    </xf>
    <xf numFmtId="0" fontId="7" fillId="0" borderId="0" xfId="0" applyFont="1" applyBorder="1" applyProtection="1">
      <protection hidden="1"/>
    </xf>
    <xf numFmtId="0" fontId="11" fillId="0" borderId="0" xfId="2" applyFont="1" applyFill="1" applyBorder="1" applyAlignment="1" applyProtection="1">
      <alignment vertical="center"/>
      <protection hidden="1"/>
    </xf>
    <xf numFmtId="0" fontId="7" fillId="0" borderId="0" xfId="0" applyFont="1" applyAlignment="1" applyProtection="1">
      <alignment horizontal="center"/>
      <protection hidden="1"/>
    </xf>
    <xf numFmtId="0" fontId="13" fillId="0" borderId="0" xfId="2" applyFont="1" applyFill="1" applyBorder="1" applyAlignment="1" applyProtection="1">
      <alignment vertical="center"/>
      <protection hidden="1"/>
    </xf>
    <xf numFmtId="0" fontId="17" fillId="0" borderId="0" xfId="2" applyFont="1" applyFill="1" applyBorder="1" applyAlignment="1" applyProtection="1">
      <alignment horizontal="left" vertical="center"/>
      <protection hidden="1"/>
    </xf>
    <xf numFmtId="0" fontId="7" fillId="0" borderId="0" xfId="0" applyFont="1" applyBorder="1" applyAlignment="1" applyProtection="1">
      <alignment horizontal="right"/>
      <protection hidden="1"/>
    </xf>
    <xf numFmtId="6" fontId="0" fillId="0" borderId="0" xfId="0" applyNumberFormat="1" applyFont="1" applyAlignment="1" applyProtection="1">
      <alignment horizontal="center"/>
      <protection hidden="1"/>
    </xf>
    <xf numFmtId="0" fontId="17" fillId="0" borderId="0" xfId="2" applyFont="1" applyFill="1" applyBorder="1" applyAlignment="1" applyProtection="1">
      <alignment horizontal="left"/>
      <protection hidden="1"/>
    </xf>
    <xf numFmtId="0" fontId="0" fillId="0" borderId="0" xfId="0" applyBorder="1" applyAlignment="1" applyProtection="1">
      <alignment horizontal="right"/>
      <protection hidden="1"/>
    </xf>
    <xf numFmtId="0" fontId="14" fillId="0" borderId="0" xfId="0" applyFont="1" applyProtection="1">
      <protection hidden="1"/>
    </xf>
    <xf numFmtId="0" fontId="0" fillId="0" borderId="0" xfId="0" applyProtection="1">
      <protection hidden="1"/>
    </xf>
    <xf numFmtId="0" fontId="0" fillId="0" borderId="0" xfId="0" applyBorder="1" applyProtection="1">
      <protection hidden="1"/>
    </xf>
    <xf numFmtId="6" fontId="0" fillId="0" borderId="0" xfId="0" applyNumberFormat="1" applyAlignment="1" applyProtection="1">
      <alignment horizontal="center"/>
      <protection hidden="1"/>
    </xf>
    <xf numFmtId="164" fontId="18" fillId="0" borderId="1" xfId="0" applyNumberFormat="1" applyFont="1" applyFill="1" applyBorder="1" applyAlignment="1" applyProtection="1">
      <alignment horizontal="centerContinuous"/>
      <protection hidden="1"/>
    </xf>
    <xf numFmtId="0" fontId="17" fillId="0" borderId="0" xfId="2" applyFont="1" applyFill="1" applyBorder="1" applyAlignment="1" applyProtection="1">
      <alignment vertical="center" wrapText="1"/>
      <protection hidden="1"/>
    </xf>
    <xf numFmtId="0" fontId="17" fillId="0" borderId="0" xfId="2" applyFont="1" applyFill="1" applyBorder="1" applyAlignment="1" applyProtection="1">
      <alignment vertical="center"/>
      <protection hidden="1"/>
    </xf>
    <xf numFmtId="0" fontId="17" fillId="0" borderId="1" xfId="2" applyFont="1" applyFill="1" applyBorder="1" applyAlignment="1" applyProtection="1">
      <alignment vertical="center" wrapText="1"/>
      <protection hidden="1"/>
    </xf>
    <xf numFmtId="0" fontId="0" fillId="0" borderId="0" xfId="0" applyAlignment="1" applyProtection="1">
      <alignment horizontal="right"/>
      <protection hidden="1"/>
    </xf>
    <xf numFmtId="0" fontId="0" fillId="0" borderId="11" xfId="0" applyBorder="1" applyAlignment="1" applyProtection="1">
      <alignment horizontal="right"/>
      <protection hidden="1"/>
    </xf>
    <xf numFmtId="6" fontId="0" fillId="3" borderId="11" xfId="0" applyNumberFormat="1" applyFill="1" applyBorder="1" applyAlignment="1" applyProtection="1">
      <alignment horizontal="center"/>
      <protection hidden="1"/>
    </xf>
    <xf numFmtId="167" fontId="0" fillId="0" borderId="0" xfId="0" applyNumberFormat="1" applyAlignment="1" applyProtection="1">
      <alignment horizontal="center"/>
      <protection hidden="1"/>
    </xf>
    <xf numFmtId="6" fontId="0" fillId="3" borderId="0" xfId="0" applyNumberFormat="1" applyFill="1" applyAlignment="1" applyProtection="1">
      <alignment horizontal="center"/>
      <protection hidden="1"/>
    </xf>
    <xf numFmtId="166" fontId="0" fillId="0" borderId="0" xfId="0" applyNumberFormat="1" applyAlignment="1" applyProtection="1">
      <alignment horizontal="center"/>
      <protection hidden="1"/>
    </xf>
    <xf numFmtId="0" fontId="17" fillId="0" borderId="0" xfId="2" applyFont="1" applyFill="1" applyBorder="1" applyAlignment="1" applyProtection="1">
      <protection hidden="1"/>
    </xf>
    <xf numFmtId="0" fontId="17" fillId="0" borderId="0" xfId="2" applyFont="1" applyFill="1" applyBorder="1" applyProtection="1">
      <protection hidden="1"/>
    </xf>
    <xf numFmtId="5" fontId="14" fillId="0" borderId="0" xfId="2" applyNumberFormat="1" applyFont="1" applyFill="1" applyBorder="1" applyAlignment="1" applyProtection="1">
      <alignment horizontal="left"/>
      <protection hidden="1"/>
    </xf>
    <xf numFmtId="5" fontId="14" fillId="0" borderId="0" xfId="2" applyNumberFormat="1" applyFont="1" applyFill="1" applyBorder="1" applyAlignment="1" applyProtection="1">
      <alignment horizontal="right"/>
      <protection hidden="1"/>
    </xf>
    <xf numFmtId="0" fontId="3" fillId="0" borderId="0" xfId="2" applyFont="1" applyFill="1" applyBorder="1" applyAlignment="1" applyProtection="1">
      <protection hidden="1"/>
    </xf>
    <xf numFmtId="0" fontId="7" fillId="0" borderId="11" xfId="0" applyFont="1" applyBorder="1" applyAlignment="1" applyProtection="1">
      <alignment horizontal="center"/>
      <protection hidden="1"/>
    </xf>
    <xf numFmtId="0" fontId="7" fillId="0" borderId="20" xfId="0" applyFont="1" applyBorder="1" applyAlignment="1" applyProtection="1">
      <alignment horizontal="center"/>
      <protection hidden="1"/>
    </xf>
    <xf numFmtId="0" fontId="0" fillId="0" borderId="0" xfId="0" applyAlignment="1" applyProtection="1">
      <alignment horizontal="center"/>
      <protection hidden="1"/>
    </xf>
    <xf numFmtId="0" fontId="0" fillId="0" borderId="7" xfId="0" applyBorder="1" applyProtection="1">
      <protection hidden="1"/>
    </xf>
    <xf numFmtId="0" fontId="0" fillId="3" borderId="0" xfId="0" applyFill="1" applyAlignment="1" applyProtection="1">
      <alignment horizontal="center"/>
      <protection hidden="1"/>
    </xf>
    <xf numFmtId="6" fontId="0" fillId="3" borderId="1" xfId="0" applyNumberFormat="1" applyFill="1" applyBorder="1" applyAlignment="1" applyProtection="1">
      <alignment horizontal="center"/>
      <protection hidden="1"/>
    </xf>
    <xf numFmtId="9" fontId="0" fillId="3" borderId="0" xfId="0" applyNumberFormat="1" applyFill="1" applyAlignment="1" applyProtection="1">
      <alignment horizontal="center"/>
      <protection hidden="1"/>
    </xf>
    <xf numFmtId="0" fontId="0" fillId="0" borderId="0" xfId="0" applyFill="1" applyAlignment="1" applyProtection="1">
      <alignment horizontal="center"/>
      <protection hidden="1"/>
    </xf>
    <xf numFmtId="6" fontId="0" fillId="0" borderId="0" xfId="0" applyNumberFormat="1" applyFill="1" applyAlignment="1" applyProtection="1">
      <alignment horizontal="center"/>
      <protection hidden="1"/>
    </xf>
    <xf numFmtId="0" fontId="17" fillId="0" borderId="0" xfId="0" applyFont="1" applyFill="1" applyBorder="1" applyAlignment="1" applyProtection="1">
      <alignment horizontal="left"/>
      <protection hidden="1"/>
    </xf>
    <xf numFmtId="5" fontId="17" fillId="0" borderId="0" xfId="2" applyNumberFormat="1" applyFont="1" applyFill="1" applyBorder="1" applyAlignment="1" applyProtection="1">
      <alignment horizontal="center"/>
      <protection hidden="1"/>
    </xf>
    <xf numFmtId="5" fontId="17" fillId="0" borderId="12" xfId="2" applyNumberFormat="1" applyFont="1" applyFill="1" applyBorder="1" applyAlignment="1" applyProtection="1">
      <alignment horizontal="center"/>
      <protection hidden="1"/>
    </xf>
    <xf numFmtId="0" fontId="16" fillId="0" borderId="9" xfId="2" applyFont="1" applyFill="1" applyBorder="1" applyProtection="1">
      <protection hidden="1"/>
    </xf>
    <xf numFmtId="5" fontId="16" fillId="0" borderId="9" xfId="2" applyNumberFormat="1" applyFont="1" applyFill="1" applyBorder="1" applyAlignment="1" applyProtection="1">
      <alignment horizontal="center"/>
      <protection hidden="1"/>
    </xf>
    <xf numFmtId="5" fontId="16" fillId="0" borderId="10" xfId="2" applyNumberFormat="1" applyFont="1" applyFill="1" applyBorder="1" applyAlignment="1" applyProtection="1">
      <alignment horizontal="center"/>
      <protection hidden="1"/>
    </xf>
    <xf numFmtId="0" fontId="17" fillId="0" borderId="0" xfId="2" applyFont="1" applyBorder="1" applyProtection="1">
      <protection hidden="1"/>
    </xf>
    <xf numFmtId="0" fontId="23" fillId="0" borderId="0" xfId="2" applyFont="1" applyFill="1" applyBorder="1" applyProtection="1">
      <protection hidden="1"/>
    </xf>
    <xf numFmtId="0" fontId="23" fillId="0" borderId="0" xfId="2" applyFont="1" applyFill="1" applyBorder="1" applyAlignment="1" applyProtection="1">
      <alignment horizontal="centerContinuous"/>
      <protection hidden="1"/>
    </xf>
    <xf numFmtId="0" fontId="2" fillId="0" borderId="0" xfId="2" applyFont="1" applyFill="1" applyBorder="1" applyProtection="1">
      <protection hidden="1"/>
    </xf>
    <xf numFmtId="0" fontId="2" fillId="0" borderId="0" xfId="2" applyFont="1" applyBorder="1" applyProtection="1">
      <protection hidden="1"/>
    </xf>
    <xf numFmtId="7" fontId="4" fillId="0" borderId="0" xfId="2" applyNumberFormat="1" applyFont="1" applyFill="1" applyBorder="1" applyAlignment="1" applyProtection="1">
      <alignment horizontal="left"/>
      <protection hidden="1"/>
    </xf>
    <xf numFmtId="7" fontId="5" fillId="0" borderId="0" xfId="2" applyNumberFormat="1" applyFont="1" applyFill="1" applyBorder="1" applyAlignment="1" applyProtection="1">
      <alignment horizontal="left"/>
      <protection hidden="1"/>
    </xf>
    <xf numFmtId="0" fontId="6" fillId="0" borderId="0" xfId="2" applyFont="1" applyFill="1" applyBorder="1" applyAlignment="1" applyProtection="1">
      <alignment horizontal="left"/>
      <protection hidden="1"/>
    </xf>
    <xf numFmtId="5" fontId="6" fillId="0" borderId="0" xfId="2" applyNumberFormat="1" applyFont="1" applyFill="1" applyBorder="1" applyAlignment="1" applyProtection="1">
      <alignment horizontal="left"/>
      <protection hidden="1"/>
    </xf>
    <xf numFmtId="0" fontId="10" fillId="0" borderId="0" xfId="0" applyFont="1" applyProtection="1">
      <protection hidden="1"/>
    </xf>
    <xf numFmtId="0" fontId="6" fillId="0" borderId="0" xfId="2" applyFont="1" applyFill="1" applyProtection="1">
      <protection hidden="1"/>
    </xf>
    <xf numFmtId="6" fontId="0" fillId="3" borderId="20" xfId="0" applyNumberFormat="1" applyFill="1" applyBorder="1" applyAlignment="1" applyProtection="1">
      <alignment horizontal="center"/>
      <protection hidden="1"/>
    </xf>
    <xf numFmtId="0" fontId="0" fillId="3" borderId="11" xfId="0" applyFill="1" applyBorder="1" applyAlignment="1" applyProtection="1">
      <alignment horizontal="center"/>
      <protection hidden="1"/>
    </xf>
    <xf numFmtId="6" fontId="0" fillId="4" borderId="0" xfId="0" applyNumberFormat="1" applyFill="1" applyAlignment="1" applyProtection="1">
      <alignment horizontal="center"/>
      <protection hidden="1"/>
    </xf>
    <xf numFmtId="0" fontId="0" fillId="0" borderId="1" xfId="0" applyBorder="1" applyProtection="1">
      <protection hidden="1"/>
    </xf>
    <xf numFmtId="37" fontId="16" fillId="2" borderId="10" xfId="2" applyNumberFormat="1" applyFont="1" applyFill="1" applyBorder="1" applyAlignment="1" applyProtection="1">
      <alignment horizontal="center"/>
      <protection locked="0"/>
    </xf>
    <xf numFmtId="37" fontId="16" fillId="2" borderId="27" xfId="2" applyNumberFormat="1" applyFont="1" applyFill="1" applyBorder="1" applyAlignment="1" applyProtection="1">
      <alignment horizontal="center"/>
      <protection locked="0"/>
    </xf>
    <xf numFmtId="0" fontId="17" fillId="0" borderId="0" xfId="0" applyFont="1" applyFill="1" applyBorder="1" applyAlignment="1" applyProtection="1">
      <alignment horizontal="left" indent="2"/>
      <protection hidden="1"/>
    </xf>
    <xf numFmtId="0" fontId="17" fillId="0" borderId="0" xfId="2" applyFont="1" applyFill="1" applyBorder="1" applyAlignment="1" applyProtection="1">
      <alignment horizontal="left" indent="2"/>
      <protection hidden="1"/>
    </xf>
    <xf numFmtId="0" fontId="16" fillId="0" borderId="9" xfId="2" applyFont="1" applyFill="1" applyBorder="1" applyAlignment="1" applyProtection="1">
      <alignment horizontal="left" indent="1"/>
      <protection hidden="1"/>
    </xf>
    <xf numFmtId="37" fontId="16" fillId="2" borderId="34" xfId="2" applyNumberFormat="1" applyFont="1" applyFill="1" applyBorder="1" applyAlignment="1" applyProtection="1">
      <alignment horizontal="center"/>
      <protection locked="0"/>
    </xf>
    <xf numFmtId="37" fontId="16" fillId="2" borderId="32" xfId="2" applyNumberFormat="1" applyFont="1" applyFill="1" applyBorder="1" applyAlignment="1" applyProtection="1">
      <alignment horizontal="center"/>
      <protection locked="0"/>
    </xf>
    <xf numFmtId="6" fontId="0" fillId="0" borderId="0" xfId="0" applyNumberFormat="1" applyBorder="1" applyAlignment="1" applyProtection="1">
      <alignment horizontal="center"/>
      <protection hidden="1"/>
    </xf>
    <xf numFmtId="0" fontId="7" fillId="0" borderId="0" xfId="0" applyFont="1" applyBorder="1" applyAlignment="1" applyProtection="1">
      <alignment horizontal="center"/>
      <protection hidden="1"/>
    </xf>
    <xf numFmtId="37" fontId="16" fillId="2" borderId="0" xfId="2" applyNumberFormat="1" applyFont="1" applyFill="1" applyBorder="1" applyAlignment="1" applyProtection="1">
      <alignment horizontal="center"/>
      <protection locked="0"/>
    </xf>
    <xf numFmtId="6" fontId="16" fillId="2" borderId="0" xfId="2" applyNumberFormat="1" applyFont="1" applyFill="1" applyBorder="1" applyAlignment="1" applyProtection="1">
      <alignment horizontal="center"/>
      <protection locked="0"/>
    </xf>
    <xf numFmtId="6" fontId="16" fillId="2" borderId="1" xfId="2" applyNumberFormat="1" applyFont="1" applyFill="1" applyBorder="1" applyAlignment="1" applyProtection="1">
      <alignment horizontal="center"/>
      <protection locked="0"/>
    </xf>
    <xf numFmtId="37" fontId="16" fillId="2" borderId="12" xfId="2" applyNumberFormat="1" applyFont="1" applyFill="1" applyBorder="1" applyAlignment="1" applyProtection="1">
      <alignment horizontal="center"/>
      <protection locked="0"/>
    </xf>
    <xf numFmtId="0" fontId="0" fillId="0" borderId="0" xfId="0" applyAlignment="1" applyProtection="1">
      <alignment vertical="center"/>
      <protection hidden="1"/>
    </xf>
    <xf numFmtId="0" fontId="0" fillId="0" borderId="0" xfId="0" applyBorder="1" applyAlignment="1" applyProtection="1">
      <alignment vertical="center"/>
      <protection hidden="1"/>
    </xf>
    <xf numFmtId="6" fontId="27" fillId="3" borderId="0" xfId="2" applyNumberFormat="1" applyFont="1" applyFill="1" applyBorder="1" applyAlignment="1" applyProtection="1">
      <alignment horizontal="center"/>
      <protection hidden="1"/>
    </xf>
    <xf numFmtId="0" fontId="0" fillId="5" borderId="0" xfId="0" applyFill="1" applyProtection="1">
      <protection hidden="1"/>
    </xf>
    <xf numFmtId="0" fontId="0" fillId="5" borderId="1" xfId="0" applyFill="1" applyBorder="1" applyProtection="1">
      <protection hidden="1"/>
    </xf>
    <xf numFmtId="0" fontId="0" fillId="0" borderId="0" xfId="0" applyFill="1" applyProtection="1">
      <protection hidden="1"/>
    </xf>
    <xf numFmtId="0" fontId="17" fillId="0" borderId="6" xfId="2" applyFont="1" applyFill="1" applyBorder="1" applyAlignment="1" applyProtection="1">
      <alignment horizontal="left" vertical="center" indent="2"/>
      <protection hidden="1"/>
    </xf>
    <xf numFmtId="0" fontId="17" fillId="0" borderId="2" xfId="2" applyFont="1" applyFill="1" applyBorder="1" applyAlignment="1" applyProtection="1">
      <alignment horizontal="left" vertical="center" indent="2"/>
      <protection hidden="1"/>
    </xf>
    <xf numFmtId="0" fontId="17" fillId="0" borderId="3" xfId="2" applyFont="1" applyFill="1" applyBorder="1" applyAlignment="1" applyProtection="1">
      <alignment horizontal="left" vertical="center" indent="2"/>
      <protection hidden="1"/>
    </xf>
    <xf numFmtId="0" fontId="28" fillId="6" borderId="0" xfId="0" applyFont="1" applyFill="1" applyAlignment="1" applyProtection="1">
      <alignment horizontal="center"/>
      <protection hidden="1"/>
    </xf>
    <xf numFmtId="0" fontId="15" fillId="0" borderId="0" xfId="0" applyFont="1" applyFill="1" applyBorder="1" applyAlignment="1" applyProtection="1">
      <alignment horizontal="left"/>
      <protection hidden="1"/>
    </xf>
    <xf numFmtId="6" fontId="15" fillId="0" borderId="0" xfId="0" applyNumberFormat="1" applyFont="1" applyFill="1" applyBorder="1" applyAlignment="1" applyProtection="1">
      <alignment horizontal="center"/>
      <protection hidden="1"/>
    </xf>
    <xf numFmtId="0" fontId="24" fillId="0" borderId="0" xfId="0" applyFont="1" applyFill="1" applyBorder="1" applyAlignment="1" applyProtection="1">
      <alignment horizontal="left"/>
      <protection hidden="1"/>
    </xf>
    <xf numFmtId="6" fontId="24" fillId="0" borderId="0" xfId="0" applyNumberFormat="1" applyFont="1" applyFill="1" applyBorder="1" applyAlignment="1" applyProtection="1">
      <alignment horizontal="center"/>
      <protection hidden="1"/>
    </xf>
    <xf numFmtId="0" fontId="15" fillId="0" borderId="0" xfId="0" applyFont="1" applyFill="1" applyBorder="1" applyAlignment="1" applyProtection="1">
      <alignment horizontal="right"/>
      <protection hidden="1"/>
    </xf>
    <xf numFmtId="0" fontId="15" fillId="0" borderId="0" xfId="0" applyFont="1" applyFill="1" applyBorder="1" applyAlignment="1" applyProtection="1">
      <alignment vertical="center"/>
      <protection hidden="1"/>
    </xf>
    <xf numFmtId="6" fontId="15" fillId="0" borderId="0" xfId="0" applyNumberFormat="1" applyFont="1" applyFill="1" applyBorder="1" applyAlignment="1" applyProtection="1">
      <alignment horizontal="center" vertical="center"/>
      <protection hidden="1"/>
    </xf>
    <xf numFmtId="6" fontId="0" fillId="0" borderId="0" xfId="0" applyNumberFormat="1" applyFill="1" applyBorder="1" applyAlignment="1" applyProtection="1">
      <alignment horizontal="center"/>
      <protection hidden="1"/>
    </xf>
    <xf numFmtId="0" fontId="0" fillId="0" borderId="0" xfId="0" applyFill="1" applyBorder="1" applyProtection="1">
      <protection hidden="1"/>
    </xf>
    <xf numFmtId="0" fontId="0" fillId="0" borderId="0" xfId="0" applyFill="1" applyBorder="1" applyAlignment="1" applyProtection="1">
      <alignment horizontal="center"/>
      <protection hidden="1"/>
    </xf>
    <xf numFmtId="0" fontId="25" fillId="0" borderId="0" xfId="0" applyFont="1" applyFill="1" applyBorder="1" applyAlignment="1" applyProtection="1">
      <alignment horizontal="left"/>
      <protection hidden="1"/>
    </xf>
    <xf numFmtId="6" fontId="0" fillId="0" borderId="0" xfId="0" applyNumberFormat="1" applyFill="1" applyBorder="1" applyProtection="1">
      <protection hidden="1"/>
    </xf>
    <xf numFmtId="0" fontId="0" fillId="0" borderId="0" xfId="0" applyFill="1" applyBorder="1" applyAlignment="1" applyProtection="1">
      <alignment vertical="center"/>
      <protection hidden="1"/>
    </xf>
    <xf numFmtId="0" fontId="15" fillId="0" borderId="0" xfId="0" applyFont="1" applyFill="1" applyBorder="1" applyProtection="1">
      <protection hidden="1"/>
    </xf>
    <xf numFmtId="6" fontId="0" fillId="0" borderId="0" xfId="0" applyNumberFormat="1" applyFill="1" applyAlignment="1" applyProtection="1">
      <alignment horizontal="left"/>
      <protection hidden="1"/>
    </xf>
    <xf numFmtId="0" fontId="26" fillId="6" borderId="0" xfId="0" applyFont="1" applyFill="1" applyProtection="1">
      <protection hidden="1"/>
    </xf>
    <xf numFmtId="0" fontId="0" fillId="6" borderId="0" xfId="0" applyFill="1" applyProtection="1">
      <protection hidden="1"/>
    </xf>
    <xf numFmtId="0" fontId="28" fillId="6" borderId="0" xfId="0" applyFont="1" applyFill="1" applyProtection="1">
      <protection hidden="1"/>
    </xf>
    <xf numFmtId="0" fontId="29" fillId="0" borderId="0" xfId="2" applyFont="1" applyFill="1" applyBorder="1" applyAlignment="1" applyProtection="1">
      <alignment horizontal="left"/>
      <protection hidden="1"/>
    </xf>
    <xf numFmtId="0" fontId="30" fillId="0" borderId="0" xfId="2" applyFont="1" applyFill="1" applyBorder="1" applyAlignment="1" applyProtection="1">
      <alignment horizontal="left"/>
      <protection hidden="1"/>
    </xf>
    <xf numFmtId="0" fontId="31" fillId="0" borderId="0" xfId="2" applyFont="1" applyFill="1" applyBorder="1" applyAlignment="1" applyProtection="1">
      <alignment horizontal="left"/>
      <protection hidden="1"/>
    </xf>
    <xf numFmtId="5" fontId="31" fillId="0" borderId="0" xfId="2" applyNumberFormat="1" applyFont="1" applyFill="1" applyBorder="1" applyAlignment="1" applyProtection="1">
      <alignment horizontal="left"/>
      <protection hidden="1"/>
    </xf>
    <xf numFmtId="9" fontId="31" fillId="0" borderId="0" xfId="2" applyNumberFormat="1" applyFont="1" applyFill="1" applyBorder="1" applyAlignment="1" applyProtection="1">
      <alignment horizontal="left"/>
      <protection hidden="1"/>
    </xf>
    <xf numFmtId="0" fontId="7" fillId="0" borderId="0" xfId="0" applyFont="1"/>
    <xf numFmtId="0" fontId="17" fillId="0" borderId="1" xfId="0" applyFont="1" applyFill="1" applyBorder="1" applyAlignment="1" applyProtection="1">
      <alignment horizontal="left" vertical="center" indent="2"/>
      <protection hidden="1"/>
    </xf>
    <xf numFmtId="0" fontId="17" fillId="0" borderId="1" xfId="2" applyFont="1" applyFill="1" applyBorder="1" applyAlignment="1" applyProtection="1">
      <alignment horizontal="left" vertical="center" indent="2"/>
      <protection hidden="1"/>
    </xf>
    <xf numFmtId="0" fontId="16" fillId="0" borderId="8" xfId="2" applyFont="1" applyFill="1" applyBorder="1" applyAlignment="1" applyProtection="1">
      <alignment horizontal="left" vertical="center" indent="1"/>
      <protection hidden="1"/>
    </xf>
    <xf numFmtId="0" fontId="17" fillId="0" borderId="6" xfId="2" applyFont="1" applyFill="1" applyBorder="1" applyAlignment="1" applyProtection="1">
      <alignment horizontal="left" vertical="center"/>
      <protection hidden="1"/>
    </xf>
    <xf numFmtId="6" fontId="17" fillId="0" borderId="15" xfId="2" applyNumberFormat="1" applyFont="1" applyFill="1" applyBorder="1" applyAlignment="1" applyProtection="1">
      <alignment horizontal="center" vertical="center"/>
      <protection hidden="1"/>
    </xf>
    <xf numFmtId="5" fontId="20" fillId="0" borderId="34" xfId="2" applyNumberFormat="1" applyFont="1" applyFill="1" applyBorder="1" applyAlignment="1" applyProtection="1">
      <alignment horizontal="center" vertical="center"/>
      <protection hidden="1"/>
    </xf>
    <xf numFmtId="5" fontId="20" fillId="0" borderId="42" xfId="2" applyNumberFormat="1" applyFont="1" applyFill="1" applyBorder="1" applyAlignment="1" applyProtection="1">
      <alignment horizontal="center" vertical="center"/>
      <protection hidden="1"/>
    </xf>
    <xf numFmtId="0" fontId="17" fillId="0" borderId="4" xfId="2" applyFont="1" applyFill="1" applyBorder="1" applyAlignment="1" applyProtection="1">
      <alignment horizontal="left" vertical="center"/>
      <protection hidden="1"/>
    </xf>
    <xf numFmtId="5" fontId="20" fillId="0" borderId="14" xfId="2" applyNumberFormat="1" applyFont="1" applyFill="1" applyBorder="1" applyAlignment="1" applyProtection="1">
      <alignment horizontal="center" vertical="center"/>
      <protection hidden="1"/>
    </xf>
    <xf numFmtId="5" fontId="20" fillId="0" borderId="19" xfId="2" applyNumberFormat="1" applyFont="1" applyFill="1" applyBorder="1" applyAlignment="1" applyProtection="1">
      <alignment horizontal="center" vertical="center"/>
      <protection hidden="1"/>
    </xf>
    <xf numFmtId="0" fontId="17" fillId="0" borderId="5" xfId="2" applyFont="1" applyFill="1" applyBorder="1" applyAlignment="1" applyProtection="1">
      <alignment horizontal="left" vertical="center"/>
      <protection hidden="1"/>
    </xf>
    <xf numFmtId="6" fontId="17" fillId="0" borderId="17" xfId="2" applyNumberFormat="1" applyFont="1" applyFill="1" applyBorder="1" applyAlignment="1" applyProtection="1">
      <alignment horizontal="center" vertical="center"/>
      <protection hidden="1"/>
    </xf>
    <xf numFmtId="5" fontId="20" fillId="0" borderId="21" xfId="2" applyNumberFormat="1" applyFont="1" applyFill="1" applyBorder="1" applyAlignment="1" applyProtection="1">
      <alignment horizontal="center" vertical="center"/>
      <protection hidden="1"/>
    </xf>
    <xf numFmtId="0" fontId="0" fillId="0" borderId="0" xfId="0" applyAlignment="1">
      <alignment horizontal="left"/>
    </xf>
    <xf numFmtId="0" fontId="35" fillId="0" borderId="0" xfId="0" applyFont="1" applyAlignment="1">
      <alignment horizontal="right"/>
    </xf>
    <xf numFmtId="0" fontId="0" fillId="0" borderId="0" xfId="0" applyAlignment="1">
      <alignment horizontal="right"/>
    </xf>
    <xf numFmtId="0" fontId="34" fillId="0" borderId="0" xfId="0" applyFont="1"/>
    <xf numFmtId="164" fontId="0" fillId="0" borderId="0" xfId="0" applyNumberFormat="1" applyAlignment="1">
      <alignment horizontal="right"/>
    </xf>
    <xf numFmtId="168" fontId="0" fillId="0" borderId="0" xfId="0" applyNumberFormat="1" applyAlignment="1">
      <alignment horizontal="right"/>
    </xf>
    <xf numFmtId="3" fontId="0" fillId="0" borderId="0" xfId="0" applyNumberFormat="1" applyAlignment="1">
      <alignment horizontal="right"/>
    </xf>
    <xf numFmtId="0" fontId="34" fillId="0" borderId="0" xfId="0" applyFont="1" applyAlignment="1">
      <alignment horizontal="left"/>
    </xf>
    <xf numFmtId="164" fontId="34" fillId="0" borderId="0" xfId="0" applyNumberFormat="1" applyFont="1" applyAlignment="1">
      <alignment horizontal="right"/>
    </xf>
    <xf numFmtId="168" fontId="34" fillId="0" borderId="0" xfId="0" applyNumberFormat="1" applyFont="1" applyAlignment="1">
      <alignment horizontal="right"/>
    </xf>
    <xf numFmtId="0" fontId="0" fillId="7" borderId="0" xfId="0" applyFill="1" applyAlignment="1">
      <alignment horizontal="left"/>
    </xf>
    <xf numFmtId="164" fontId="0" fillId="7" borderId="0" xfId="0" applyNumberFormat="1" applyFill="1" applyAlignment="1">
      <alignment horizontal="right"/>
    </xf>
    <xf numFmtId="168" fontId="0" fillId="7" borderId="0" xfId="0" applyNumberFormat="1" applyFill="1" applyAlignment="1">
      <alignment horizontal="right"/>
    </xf>
    <xf numFmtId="0" fontId="0" fillId="7" borderId="0" xfId="0" applyFill="1"/>
    <xf numFmtId="3" fontId="0" fillId="7" borderId="0" xfId="0" applyNumberFormat="1" applyFill="1" applyAlignment="1">
      <alignment horizontal="right"/>
    </xf>
    <xf numFmtId="6" fontId="0" fillId="3" borderId="12" xfId="0" applyNumberFormat="1" applyFill="1" applyBorder="1" applyAlignment="1" applyProtection="1">
      <alignment horizontal="center"/>
      <protection hidden="1"/>
    </xf>
    <xf numFmtId="6" fontId="0" fillId="3" borderId="32" xfId="0" applyNumberFormat="1" applyFill="1" applyBorder="1" applyAlignment="1" applyProtection="1">
      <alignment horizontal="center"/>
      <protection hidden="1"/>
    </xf>
    <xf numFmtId="6" fontId="0" fillId="8" borderId="0" xfId="0" applyNumberFormat="1" applyFill="1" applyBorder="1" applyAlignment="1" applyProtection="1">
      <alignment horizontal="center"/>
      <protection hidden="1"/>
    </xf>
    <xf numFmtId="0" fontId="0" fillId="8" borderId="0" xfId="0" applyFill="1"/>
    <xf numFmtId="0" fontId="0" fillId="0" borderId="0" xfId="0"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8" fontId="0" fillId="0" borderId="1" xfId="0" applyNumberFormat="1" applyFill="1" applyBorder="1" applyAlignment="1">
      <alignment horizontal="center" vertical="center"/>
    </xf>
    <xf numFmtId="8" fontId="0" fillId="0" borderId="0" xfId="0" applyNumberFormat="1" applyFill="1" applyBorder="1" applyAlignment="1">
      <alignment horizontal="center" vertical="center"/>
    </xf>
    <xf numFmtId="8" fontId="0" fillId="0" borderId="12" xfId="0" applyNumberFormat="1" applyFill="1" applyBorder="1" applyAlignment="1">
      <alignment horizontal="center" vertical="center"/>
    </xf>
    <xf numFmtId="8" fontId="0" fillId="3" borderId="1" xfId="0" applyNumberFormat="1" applyFill="1" applyBorder="1" applyAlignment="1">
      <alignment horizontal="center" vertical="center"/>
    </xf>
    <xf numFmtId="8" fontId="0" fillId="3" borderId="0" xfId="0" applyNumberFormat="1" applyFill="1" applyBorder="1" applyAlignment="1">
      <alignment horizontal="center" vertical="center"/>
    </xf>
    <xf numFmtId="8" fontId="0" fillId="3" borderId="12" xfId="0" applyNumberFormat="1" applyFill="1" applyBorder="1" applyAlignment="1">
      <alignment horizontal="center" vertical="center"/>
    </xf>
    <xf numFmtId="8" fontId="0" fillId="3" borderId="20" xfId="0" applyNumberFormat="1" applyFill="1" applyBorder="1" applyAlignment="1">
      <alignment horizontal="center" vertical="center"/>
    </xf>
    <xf numFmtId="8" fontId="0" fillId="3" borderId="11" xfId="0" applyNumberFormat="1" applyFill="1" applyBorder="1" applyAlignment="1">
      <alignment horizontal="center" vertical="center"/>
    </xf>
    <xf numFmtId="8" fontId="0" fillId="3" borderId="32" xfId="0" applyNumberFormat="1" applyFill="1" applyBorder="1" applyAlignment="1">
      <alignment horizontal="center" vertical="center"/>
    </xf>
    <xf numFmtId="6" fontId="0" fillId="3" borderId="1" xfId="0" applyNumberFormat="1" applyFill="1" applyBorder="1" applyAlignment="1">
      <alignment horizontal="center" vertical="center"/>
    </xf>
    <xf numFmtId="6" fontId="0" fillId="3" borderId="0" xfId="0" applyNumberFormat="1" applyFill="1" applyBorder="1" applyAlignment="1">
      <alignment horizontal="center" vertical="center"/>
    </xf>
    <xf numFmtId="6" fontId="0" fillId="0" borderId="12" xfId="0" applyNumberFormat="1" applyFill="1" applyBorder="1" applyAlignment="1">
      <alignment horizontal="center" vertical="center"/>
    </xf>
    <xf numFmtId="6" fontId="0" fillId="3" borderId="20" xfId="0" applyNumberFormat="1" applyFill="1" applyBorder="1" applyAlignment="1">
      <alignment horizontal="center" vertical="center"/>
    </xf>
    <xf numFmtId="6" fontId="0" fillId="3" borderId="11" xfId="0" applyNumberFormat="1" applyFill="1" applyBorder="1" applyAlignment="1">
      <alignment horizontal="center" vertical="center"/>
    </xf>
    <xf numFmtId="6" fontId="0" fillId="0" borderId="32" xfId="0" applyNumberFormat="1" applyFill="1" applyBorder="1" applyAlignment="1">
      <alignment horizontal="center" vertical="center"/>
    </xf>
    <xf numFmtId="0" fontId="28"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xf numFmtId="0" fontId="0" fillId="0" borderId="12" xfId="0" applyBorder="1" applyAlignment="1">
      <alignment vertical="center"/>
    </xf>
    <xf numFmtId="0" fontId="18" fillId="9" borderId="29" xfId="0" applyFont="1" applyFill="1" applyBorder="1" applyAlignment="1" applyProtection="1">
      <alignment horizontal="centerContinuous"/>
      <protection hidden="1"/>
    </xf>
    <xf numFmtId="0" fontId="18" fillId="9" borderId="30" xfId="0" applyFont="1" applyFill="1" applyBorder="1" applyAlignment="1" applyProtection="1">
      <alignment horizontal="centerContinuous"/>
      <protection hidden="1"/>
    </xf>
    <xf numFmtId="0" fontId="19" fillId="9" borderId="30" xfId="0" applyFont="1" applyFill="1" applyBorder="1" applyAlignment="1" applyProtection="1">
      <alignment horizontal="centerContinuous"/>
      <protection hidden="1"/>
    </xf>
    <xf numFmtId="0" fontId="18" fillId="9" borderId="13" xfId="0" applyFont="1" applyFill="1" applyBorder="1" applyAlignment="1" applyProtection="1">
      <alignment horizontal="centerContinuous"/>
      <protection hidden="1"/>
    </xf>
    <xf numFmtId="0" fontId="18" fillId="9" borderId="28" xfId="0" applyFont="1" applyFill="1" applyBorder="1" applyAlignment="1" applyProtection="1">
      <alignment horizontal="center" vertical="center"/>
      <protection hidden="1"/>
    </xf>
    <xf numFmtId="0" fontId="18" fillId="9" borderId="25" xfId="0" applyFont="1" applyFill="1" applyBorder="1" applyAlignment="1" applyProtection="1">
      <alignment horizontal="center" vertical="center"/>
      <protection hidden="1"/>
    </xf>
    <xf numFmtId="0" fontId="18" fillId="9" borderId="11" xfId="0" applyFont="1" applyFill="1" applyBorder="1" applyAlignment="1" applyProtection="1">
      <alignment horizontal="center" vertical="center"/>
      <protection hidden="1"/>
    </xf>
    <xf numFmtId="0" fontId="18" fillId="9" borderId="26" xfId="0" applyFont="1" applyFill="1" applyBorder="1" applyAlignment="1" applyProtection="1">
      <alignment horizontal="center" vertical="center"/>
      <protection hidden="1"/>
    </xf>
    <xf numFmtId="0" fontId="16" fillId="10" borderId="16" xfId="2" applyFont="1" applyFill="1" applyBorder="1" applyAlignment="1" applyProtection="1">
      <alignment horizontal="left" vertical="center" indent="2"/>
      <protection hidden="1"/>
    </xf>
    <xf numFmtId="0" fontId="16" fillId="10" borderId="27" xfId="2" applyFont="1" applyFill="1" applyBorder="1" applyAlignment="1" applyProtection="1">
      <alignment horizontal="left" indent="2"/>
      <protection hidden="1"/>
    </xf>
    <xf numFmtId="0" fontId="16" fillId="10" borderId="5" xfId="2" applyFont="1" applyFill="1" applyBorder="1" applyAlignment="1" applyProtection="1">
      <alignment horizontal="left" indent="2"/>
      <protection hidden="1"/>
    </xf>
    <xf numFmtId="0" fontId="16" fillId="10" borderId="17" xfId="2" applyFont="1" applyFill="1" applyBorder="1" applyAlignment="1" applyProtection="1">
      <alignment horizontal="left" indent="2"/>
      <protection hidden="1"/>
    </xf>
    <xf numFmtId="6" fontId="21" fillId="10" borderId="22" xfId="2" applyNumberFormat="1" applyFont="1" applyFill="1" applyBorder="1" applyAlignment="1" applyProtection="1">
      <alignment horizontal="center" vertical="center"/>
      <protection hidden="1"/>
    </xf>
    <xf numFmtId="5" fontId="21" fillId="10" borderId="24" xfId="2" applyNumberFormat="1" applyFont="1" applyFill="1" applyBorder="1" applyAlignment="1" applyProtection="1">
      <alignment horizontal="center" vertical="center"/>
      <protection hidden="1"/>
    </xf>
    <xf numFmtId="5" fontId="21" fillId="10" borderId="23" xfId="2" applyNumberFormat="1" applyFont="1" applyFill="1" applyBorder="1" applyAlignment="1" applyProtection="1">
      <alignment horizontal="center" vertical="center"/>
      <protection hidden="1"/>
    </xf>
    <xf numFmtId="0" fontId="16" fillId="10" borderId="52" xfId="2" applyFont="1" applyFill="1" applyBorder="1" applyAlignment="1" applyProtection="1">
      <alignment horizontal="left" vertical="center" indent="2"/>
      <protection hidden="1"/>
    </xf>
    <xf numFmtId="0" fontId="16" fillId="10" borderId="12" xfId="2" applyFont="1" applyFill="1" applyBorder="1" applyAlignment="1" applyProtection="1">
      <alignment horizontal="left" indent="2"/>
      <protection hidden="1"/>
    </xf>
    <xf numFmtId="0" fontId="16" fillId="10" borderId="53" xfId="2" applyFont="1" applyFill="1" applyBorder="1" applyAlignment="1" applyProtection="1">
      <alignment horizontal="left" indent="2"/>
      <protection hidden="1"/>
    </xf>
    <xf numFmtId="0" fontId="16" fillId="10" borderId="54" xfId="2" applyFont="1" applyFill="1" applyBorder="1" applyAlignment="1" applyProtection="1">
      <alignment horizontal="left" indent="2"/>
      <protection hidden="1"/>
    </xf>
    <xf numFmtId="5" fontId="21" fillId="10" borderId="55" xfId="2" applyNumberFormat="1" applyFont="1" applyFill="1" applyBorder="1" applyAlignment="1" applyProtection="1">
      <alignment horizontal="center" vertical="center"/>
      <protection hidden="1"/>
    </xf>
    <xf numFmtId="5" fontId="21" fillId="10" borderId="40" xfId="2" applyNumberFormat="1" applyFont="1" applyFill="1" applyBorder="1" applyAlignment="1" applyProtection="1">
      <alignment horizontal="center" vertical="center"/>
      <protection hidden="1"/>
    </xf>
    <xf numFmtId="5" fontId="21" fillId="10" borderId="56" xfId="2" applyNumberFormat="1" applyFont="1" applyFill="1" applyBorder="1" applyAlignment="1" applyProtection="1">
      <alignment horizontal="center" vertical="center"/>
      <protection hidden="1"/>
    </xf>
    <xf numFmtId="0" fontId="18" fillId="9" borderId="8" xfId="0" applyFont="1" applyFill="1" applyBorder="1" applyAlignment="1" applyProtection="1">
      <alignment horizontal="centerContinuous" vertical="center"/>
      <protection hidden="1"/>
    </xf>
    <xf numFmtId="0" fontId="18" fillId="9" borderId="9" xfId="0" applyFont="1" applyFill="1" applyBorder="1" applyAlignment="1" applyProtection="1">
      <alignment horizontal="centerContinuous"/>
      <protection hidden="1"/>
    </xf>
    <xf numFmtId="164" fontId="19" fillId="9" borderId="9" xfId="0" applyNumberFormat="1" applyFont="1" applyFill="1" applyBorder="1" applyAlignment="1" applyProtection="1">
      <alignment horizontal="centerContinuous"/>
      <protection hidden="1"/>
    </xf>
    <xf numFmtId="164" fontId="18" fillId="9" borderId="9" xfId="0" applyNumberFormat="1" applyFont="1" applyFill="1" applyBorder="1" applyAlignment="1" applyProtection="1">
      <alignment horizontal="centerContinuous"/>
      <protection hidden="1"/>
    </xf>
    <xf numFmtId="164" fontId="18" fillId="9" borderId="10" xfId="0" applyNumberFormat="1" applyFont="1" applyFill="1" applyBorder="1" applyAlignment="1" applyProtection="1">
      <alignment horizontal="centerContinuous"/>
      <protection hidden="1"/>
    </xf>
    <xf numFmtId="0" fontId="18" fillId="11" borderId="8" xfId="2" applyFont="1" applyFill="1" applyBorder="1" applyAlignment="1" applyProtection="1">
      <alignment horizontal="left" vertical="center"/>
      <protection hidden="1"/>
    </xf>
    <xf numFmtId="0" fontId="18" fillId="11" borderId="9" xfId="2" applyFont="1" applyFill="1" applyBorder="1" applyAlignment="1" applyProtection="1">
      <alignment horizontal="left" vertical="center"/>
      <protection hidden="1"/>
    </xf>
    <xf numFmtId="0" fontId="18" fillId="11" borderId="9" xfId="2" applyFont="1" applyFill="1" applyBorder="1" applyAlignment="1" applyProtection="1">
      <alignment vertical="center"/>
      <protection hidden="1"/>
    </xf>
    <xf numFmtId="5" fontId="18" fillId="11" borderId="9" xfId="2" applyNumberFormat="1" applyFont="1" applyFill="1" applyBorder="1" applyAlignment="1" applyProtection="1">
      <alignment horizontal="center" vertical="center"/>
      <protection hidden="1"/>
    </xf>
    <xf numFmtId="5" fontId="18" fillId="11" borderId="10" xfId="2" applyNumberFormat="1" applyFont="1" applyFill="1" applyBorder="1" applyAlignment="1" applyProtection="1">
      <alignment horizontal="center" vertical="center"/>
      <protection hidden="1"/>
    </xf>
    <xf numFmtId="0" fontId="18" fillId="11" borderId="18" xfId="2" applyFont="1" applyFill="1" applyBorder="1" applyAlignment="1" applyProtection="1">
      <alignment horizontal="left" vertical="center" indent="2"/>
      <protection hidden="1"/>
    </xf>
    <xf numFmtId="0" fontId="18" fillId="11" borderId="57" xfId="2" applyFont="1" applyFill="1" applyBorder="1" applyAlignment="1" applyProtection="1">
      <alignment horizontal="left" indent="2"/>
      <protection hidden="1"/>
    </xf>
    <xf numFmtId="0" fontId="18" fillId="11" borderId="37" xfId="2" applyFont="1" applyFill="1" applyBorder="1" applyAlignment="1" applyProtection="1">
      <alignment horizontal="left" indent="2"/>
      <protection hidden="1"/>
    </xf>
    <xf numFmtId="5" fontId="22" fillId="11" borderId="37" xfId="2" applyNumberFormat="1" applyFont="1" applyFill="1" applyBorder="1" applyAlignment="1" applyProtection="1">
      <alignment horizontal="center" vertical="center"/>
      <protection hidden="1"/>
    </xf>
    <xf numFmtId="5" fontId="22" fillId="11" borderId="38" xfId="2" applyNumberFormat="1" applyFont="1" applyFill="1" applyBorder="1" applyAlignment="1" applyProtection="1">
      <alignment horizontal="center" vertical="center"/>
      <protection hidden="1"/>
    </xf>
    <xf numFmtId="0" fontId="7" fillId="0" borderId="0" xfId="0" applyFont="1" applyAlignment="1" applyProtection="1">
      <alignment horizontal="center"/>
      <protection hidden="1"/>
    </xf>
    <xf numFmtId="0" fontId="7" fillId="0" borderId="0" xfId="0" applyFont="1" applyFill="1" applyProtection="1">
      <protection hidden="1"/>
    </xf>
    <xf numFmtId="0" fontId="7" fillId="0" borderId="11" xfId="0" applyFont="1" applyFill="1" applyBorder="1" applyAlignment="1" applyProtection="1">
      <alignment horizontal="center"/>
      <protection hidden="1"/>
    </xf>
    <xf numFmtId="167" fontId="0" fillId="0" borderId="0" xfId="0" applyNumberFormat="1" applyFill="1" applyAlignment="1" applyProtection="1">
      <alignment horizontal="center"/>
      <protection hidden="1"/>
    </xf>
    <xf numFmtId="0" fontId="0" fillId="0" borderId="0" xfId="0" applyFill="1" applyAlignment="1" applyProtection="1">
      <alignment vertical="center"/>
      <protection hidden="1"/>
    </xf>
    <xf numFmtId="0" fontId="7" fillId="0" borderId="0" xfId="0" applyFont="1" applyAlignment="1" applyProtection="1">
      <protection hidden="1"/>
    </xf>
    <xf numFmtId="0" fontId="7" fillId="0" borderId="0" xfId="0" applyFont="1" applyFill="1" applyAlignment="1" applyProtection="1">
      <alignment horizontal="center"/>
      <protection hidden="1"/>
    </xf>
    <xf numFmtId="0" fontId="7" fillId="5" borderId="0" xfId="0" applyFont="1" applyFill="1" applyProtection="1">
      <protection hidden="1"/>
    </xf>
    <xf numFmtId="0" fontId="38" fillId="5" borderId="0" xfId="0" applyFont="1" applyFill="1" applyProtection="1">
      <protection hidden="1"/>
    </xf>
    <xf numFmtId="0" fontId="39" fillId="5" borderId="0" xfId="0" applyFont="1" applyFill="1" applyAlignment="1" applyProtection="1">
      <alignment horizontal="center" vertical="center"/>
      <protection hidden="1"/>
    </xf>
    <xf numFmtId="0" fontId="0" fillId="0" borderId="0" xfId="0" applyAlignment="1">
      <alignment horizontal="center"/>
    </xf>
    <xf numFmtId="0" fontId="9" fillId="0" borderId="0" xfId="3" applyAlignment="1">
      <alignment horizontal="center"/>
    </xf>
    <xf numFmtId="0" fontId="8" fillId="0" borderId="0" xfId="0" applyFont="1" applyAlignment="1">
      <alignment horizontal="center"/>
    </xf>
    <xf numFmtId="0" fontId="42" fillId="0" borderId="0" xfId="0" applyFont="1" applyAlignment="1">
      <alignment horizontal="center"/>
    </xf>
    <xf numFmtId="0" fontId="41" fillId="12" borderId="4" xfId="0" applyFont="1" applyFill="1" applyBorder="1" applyAlignment="1">
      <alignment horizontal="center" vertical="center" wrapText="1"/>
    </xf>
    <xf numFmtId="167" fontId="42" fillId="0" borderId="5" xfId="1" applyNumberFormat="1" applyFont="1" applyBorder="1" applyAlignment="1">
      <alignment horizontal="center" vertical="center"/>
    </xf>
    <xf numFmtId="167" fontId="42" fillId="0" borderId="53" xfId="1" applyNumberFormat="1" applyFont="1" applyBorder="1" applyAlignment="1">
      <alignment horizontal="center" vertical="center"/>
    </xf>
    <xf numFmtId="167" fontId="42" fillId="0" borderId="6" xfId="1" applyNumberFormat="1" applyFont="1" applyBorder="1" applyAlignment="1">
      <alignment horizontal="center" vertical="center"/>
    </xf>
    <xf numFmtId="44" fontId="42" fillId="0" borderId="31" xfId="4" applyFont="1" applyBorder="1" applyAlignment="1">
      <alignment horizontal="center" vertical="center"/>
    </xf>
    <xf numFmtId="44" fontId="42" fillId="0" borderId="0" xfId="4" applyFont="1" applyBorder="1" applyAlignment="1">
      <alignment horizontal="center" vertical="center"/>
    </xf>
    <xf numFmtId="44" fontId="42" fillId="0" borderId="11" xfId="4" applyFont="1" applyBorder="1" applyAlignment="1">
      <alignment horizontal="center" vertical="center"/>
    </xf>
    <xf numFmtId="164" fontId="42" fillId="0" borderId="7" xfId="0" applyNumberFormat="1" applyFont="1" applyBorder="1" applyAlignment="1">
      <alignment horizontal="center" vertical="center"/>
    </xf>
    <xf numFmtId="164" fontId="42" fillId="0" borderId="1" xfId="0" applyNumberFormat="1" applyFont="1" applyBorder="1" applyAlignment="1">
      <alignment horizontal="center" vertical="center"/>
    </xf>
    <xf numFmtId="164" fontId="42" fillId="0" borderId="20" xfId="0" applyNumberFormat="1" applyFont="1" applyBorder="1" applyAlignment="1">
      <alignment horizontal="center" vertical="center"/>
    </xf>
    <xf numFmtId="164" fontId="42" fillId="0" borderId="27" xfId="0" applyNumberFormat="1" applyFont="1" applyBorder="1" applyAlignment="1">
      <alignment horizontal="center" vertical="center"/>
    </xf>
    <xf numFmtId="164" fontId="42" fillId="0" borderId="12" xfId="0" applyNumberFormat="1" applyFont="1" applyBorder="1" applyAlignment="1">
      <alignment horizontal="center" vertical="center"/>
    </xf>
    <xf numFmtId="164" fontId="42" fillId="0" borderId="32" xfId="0" applyNumberFormat="1" applyFont="1" applyBorder="1" applyAlignment="1">
      <alignment horizontal="center" vertical="center"/>
    </xf>
    <xf numFmtId="164" fontId="42" fillId="0" borderId="7" xfId="0" applyNumberFormat="1" applyFont="1" applyBorder="1" applyAlignment="1" applyProtection="1">
      <alignment horizontal="center" vertical="center"/>
    </xf>
    <xf numFmtId="0" fontId="42" fillId="0" borderId="31" xfId="0" applyFont="1" applyBorder="1" applyAlignment="1" applyProtection="1">
      <alignment horizontal="center" vertical="center"/>
    </xf>
    <xf numFmtId="164" fontId="42" fillId="0" borderId="27" xfId="0" applyNumberFormat="1" applyFont="1" applyBorder="1" applyAlignment="1" applyProtection="1">
      <alignment horizontal="center" vertical="center"/>
    </xf>
    <xf numFmtId="164" fontId="42" fillId="0" borderId="1" xfId="0" applyNumberFormat="1" applyFont="1" applyBorder="1" applyAlignment="1" applyProtection="1">
      <alignment horizontal="center" vertical="center"/>
    </xf>
    <xf numFmtId="0" fontId="42" fillId="0" borderId="0" xfId="0" applyFont="1" applyBorder="1" applyAlignment="1" applyProtection="1">
      <alignment horizontal="center" vertical="center"/>
    </xf>
    <xf numFmtId="164" fontId="42" fillId="0" borderId="12" xfId="0" applyNumberFormat="1" applyFont="1" applyBorder="1" applyAlignment="1" applyProtection="1">
      <alignment horizontal="center" vertical="center"/>
    </xf>
    <xf numFmtId="164" fontId="42" fillId="0" borderId="20" xfId="0" applyNumberFormat="1" applyFont="1" applyBorder="1" applyAlignment="1" applyProtection="1">
      <alignment horizontal="center" vertical="center"/>
    </xf>
    <xf numFmtId="0" fontId="42" fillId="0" borderId="11" xfId="0" applyFont="1" applyBorder="1" applyAlignment="1" applyProtection="1">
      <alignment horizontal="center" vertical="center"/>
    </xf>
    <xf numFmtId="164" fontId="42" fillId="0" borderId="32" xfId="0" applyNumberFormat="1" applyFont="1" applyBorder="1" applyAlignment="1" applyProtection="1">
      <alignment horizontal="center" vertical="center"/>
    </xf>
    <xf numFmtId="164" fontId="42" fillId="0" borderId="31" xfId="0" applyNumberFormat="1" applyFont="1" applyBorder="1" applyAlignment="1">
      <alignment horizontal="center" vertical="center"/>
    </xf>
    <xf numFmtId="164" fontId="42" fillId="0" borderId="0" xfId="0" applyNumberFormat="1" applyFont="1" applyBorder="1" applyAlignment="1">
      <alignment horizontal="center" vertical="center"/>
    </xf>
    <xf numFmtId="164" fontId="42" fillId="0" borderId="11" xfId="0" applyNumberFormat="1" applyFont="1" applyBorder="1" applyAlignment="1">
      <alignment horizontal="center" vertical="center"/>
    </xf>
    <xf numFmtId="0" fontId="0" fillId="0" borderId="0" xfId="0" applyFill="1" applyAlignment="1"/>
    <xf numFmtId="6" fontId="0" fillId="0" borderId="0" xfId="0" applyNumberFormat="1" applyFill="1"/>
    <xf numFmtId="165" fontId="0" fillId="0" borderId="0" xfId="0" applyNumberFormat="1" applyFill="1"/>
    <xf numFmtId="0" fontId="26" fillId="0" borderId="0" xfId="0" applyFont="1" applyAlignment="1">
      <alignment vertical="center"/>
    </xf>
    <xf numFmtId="7" fontId="17" fillId="0" borderId="12" xfId="2" applyNumberFormat="1" applyFont="1" applyFill="1" applyBorder="1" applyAlignment="1" applyProtection="1">
      <alignment horizontal="center"/>
      <protection hidden="1"/>
    </xf>
    <xf numFmtId="7" fontId="17" fillId="0" borderId="0" xfId="2" applyNumberFormat="1" applyFont="1" applyFill="1" applyBorder="1" applyAlignment="1" applyProtection="1">
      <alignment horizontal="center"/>
      <protection hidden="1"/>
    </xf>
    <xf numFmtId="164" fontId="44" fillId="0" borderId="1" xfId="0" applyNumberFormat="1" applyFont="1" applyBorder="1" applyAlignment="1">
      <alignment horizontal="center" vertical="center"/>
    </xf>
    <xf numFmtId="164" fontId="44" fillId="0" borderId="0" xfId="0" applyNumberFormat="1" applyFont="1" applyBorder="1" applyAlignment="1">
      <alignment horizontal="center" vertical="center"/>
    </xf>
    <xf numFmtId="164" fontId="44" fillId="0" borderId="12" xfId="0" applyNumberFormat="1" applyFont="1" applyBorder="1" applyAlignment="1">
      <alignment horizontal="center" vertical="center"/>
    </xf>
    <xf numFmtId="164" fontId="44" fillId="0" borderId="20" xfId="0" applyNumberFormat="1" applyFont="1" applyBorder="1" applyAlignment="1">
      <alignment horizontal="center" vertical="center"/>
    </xf>
    <xf numFmtId="164" fontId="44" fillId="0" borderId="11" xfId="0" applyNumberFormat="1" applyFont="1" applyBorder="1" applyAlignment="1">
      <alignment horizontal="center" vertical="center"/>
    </xf>
    <xf numFmtId="164" fontId="44" fillId="0" borderId="32" xfId="0" applyNumberFormat="1" applyFont="1" applyBorder="1" applyAlignment="1">
      <alignment horizontal="center" vertical="center"/>
    </xf>
    <xf numFmtId="0" fontId="26" fillId="13" borderId="0" xfId="0" applyFont="1" applyFill="1" applyAlignment="1">
      <alignment vertical="center"/>
    </xf>
    <xf numFmtId="0" fontId="0" fillId="13" borderId="0" xfId="0" applyFill="1"/>
    <xf numFmtId="169" fontId="7" fillId="0" borderId="0" xfId="0" applyNumberFormat="1" applyFont="1" applyAlignment="1" applyProtection="1">
      <alignment horizontal="center"/>
      <protection hidden="1"/>
    </xf>
    <xf numFmtId="0" fontId="7" fillId="0" borderId="0" xfId="0" applyFont="1" applyFill="1" applyAlignment="1" applyProtection="1">
      <alignment horizontal="center"/>
      <protection hidden="1"/>
    </xf>
    <xf numFmtId="0" fontId="16" fillId="0" borderId="0" xfId="2" applyFont="1" applyBorder="1" applyAlignment="1" applyProtection="1">
      <alignment horizontal="center"/>
      <protection hidden="1"/>
    </xf>
    <xf numFmtId="0" fontId="7" fillId="0" borderId="0" xfId="0" applyFont="1" applyAlignment="1" applyProtection="1">
      <alignment horizontal="center"/>
      <protection hidden="1"/>
    </xf>
    <xf numFmtId="0" fontId="26" fillId="0" borderId="0" xfId="0" applyFont="1" applyFill="1" applyAlignment="1" applyProtection="1">
      <alignment horizontal="center"/>
      <protection hidden="1"/>
    </xf>
    <xf numFmtId="0" fontId="7" fillId="0" borderId="1"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7" fillId="0" borderId="3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7" xfId="0" applyFont="1" applyBorder="1" applyAlignment="1" applyProtection="1">
      <alignment horizontal="center"/>
      <protection hidden="1"/>
    </xf>
    <xf numFmtId="164" fontId="18" fillId="9" borderId="43" xfId="0" applyNumberFormat="1" applyFont="1" applyFill="1" applyBorder="1" applyAlignment="1" applyProtection="1">
      <alignment horizontal="center" vertical="center"/>
      <protection hidden="1"/>
    </xf>
    <xf numFmtId="164" fontId="18" fillId="9" borderId="44" xfId="0" applyNumberFormat="1" applyFont="1" applyFill="1" applyBorder="1" applyAlignment="1" applyProtection="1">
      <alignment horizontal="center" vertical="center"/>
      <protection hidden="1"/>
    </xf>
    <xf numFmtId="164" fontId="18" fillId="9" borderId="45" xfId="0" applyNumberFormat="1" applyFont="1" applyFill="1" applyBorder="1" applyAlignment="1" applyProtection="1">
      <alignment horizontal="center" vertical="center"/>
      <protection hidden="1"/>
    </xf>
    <xf numFmtId="0" fontId="18" fillId="9" borderId="29" xfId="0" applyFont="1" applyFill="1" applyBorder="1" applyAlignment="1" applyProtection="1">
      <alignment horizontal="center" vertical="center"/>
      <protection hidden="1"/>
    </xf>
    <xf numFmtId="0" fontId="18" fillId="9" borderId="30" xfId="0" applyFont="1" applyFill="1" applyBorder="1" applyAlignment="1" applyProtection="1">
      <alignment horizontal="center" vertical="center"/>
      <protection hidden="1"/>
    </xf>
    <xf numFmtId="0" fontId="18" fillId="9" borderId="35" xfId="0" applyFont="1" applyFill="1" applyBorder="1" applyAlignment="1" applyProtection="1">
      <alignment horizontal="center" vertical="center"/>
      <protection hidden="1"/>
    </xf>
    <xf numFmtId="0" fontId="18" fillId="9" borderId="39" xfId="0" applyFont="1" applyFill="1" applyBorder="1" applyAlignment="1" applyProtection="1">
      <alignment horizontal="center" vertical="center"/>
      <protection hidden="1"/>
    </xf>
    <xf numFmtId="0" fontId="18" fillId="9" borderId="40" xfId="0" applyFont="1" applyFill="1" applyBorder="1" applyAlignment="1" applyProtection="1">
      <alignment horizontal="center" vertical="center"/>
      <protection hidden="1"/>
    </xf>
    <xf numFmtId="0" fontId="18" fillId="9" borderId="41" xfId="0" applyFont="1" applyFill="1" applyBorder="1" applyAlignment="1" applyProtection="1">
      <alignment horizontal="center" vertical="center"/>
      <protection hidden="1"/>
    </xf>
    <xf numFmtId="0" fontId="18" fillId="9" borderId="43" xfId="0" applyFont="1" applyFill="1" applyBorder="1" applyAlignment="1" applyProtection="1">
      <alignment horizontal="center" vertical="center"/>
      <protection hidden="1"/>
    </xf>
    <xf numFmtId="0" fontId="18" fillId="9" borderId="33" xfId="0" applyFont="1" applyFill="1" applyBorder="1" applyAlignment="1" applyProtection="1">
      <alignment horizontal="center" vertical="center"/>
      <protection hidden="1"/>
    </xf>
    <xf numFmtId="0" fontId="18" fillId="9" borderId="45" xfId="0" applyFont="1" applyFill="1" applyBorder="1" applyAlignment="1" applyProtection="1">
      <alignment horizontal="center" vertical="center"/>
      <protection hidden="1"/>
    </xf>
    <xf numFmtId="164" fontId="16" fillId="2" borderId="8" xfId="1" applyNumberFormat="1" applyFont="1" applyFill="1" applyBorder="1" applyAlignment="1" applyProtection="1">
      <alignment horizontal="center" vertical="center"/>
      <protection locked="0"/>
    </xf>
    <xf numFmtId="164" fontId="16" fillId="2" borderId="9" xfId="1" applyNumberFormat="1" applyFont="1" applyFill="1" applyBorder="1" applyAlignment="1" applyProtection="1">
      <alignment horizontal="center" vertical="center"/>
      <protection locked="0"/>
    </xf>
    <xf numFmtId="164" fontId="16" fillId="2" borderId="10" xfId="1" applyNumberFormat="1" applyFont="1" applyFill="1" applyBorder="1" applyAlignment="1" applyProtection="1">
      <alignment horizontal="center" vertical="center"/>
      <protection locked="0"/>
    </xf>
    <xf numFmtId="165" fontId="16" fillId="0" borderId="8" xfId="1" applyNumberFormat="1" applyFont="1" applyFill="1" applyBorder="1" applyAlignment="1" applyProtection="1">
      <alignment horizontal="center" vertical="center"/>
      <protection hidden="1"/>
    </xf>
    <xf numFmtId="165" fontId="16" fillId="0" borderId="9" xfId="1" applyNumberFormat="1" applyFont="1" applyFill="1" applyBorder="1" applyAlignment="1" applyProtection="1">
      <alignment horizontal="center" vertical="center"/>
      <protection hidden="1"/>
    </xf>
    <xf numFmtId="165" fontId="16" fillId="0" borderId="10" xfId="1" applyNumberFormat="1" applyFont="1" applyFill="1" applyBorder="1" applyAlignment="1" applyProtection="1">
      <alignment horizontal="center" vertical="center"/>
      <protection hidden="1"/>
    </xf>
    <xf numFmtId="0" fontId="17" fillId="0" borderId="0" xfId="2" applyFont="1" applyFill="1" applyBorder="1" applyAlignment="1" applyProtection="1">
      <alignment horizontal="left" vertical="center" wrapText="1"/>
      <protection hidden="1"/>
    </xf>
    <xf numFmtId="0" fontId="17" fillId="12" borderId="29" xfId="2" applyFont="1" applyFill="1" applyBorder="1" applyAlignment="1" applyProtection="1">
      <alignment horizontal="left" vertical="center" wrapText="1"/>
      <protection hidden="1"/>
    </xf>
    <xf numFmtId="0" fontId="17" fillId="12" borderId="30" xfId="2" applyFont="1" applyFill="1" applyBorder="1" applyAlignment="1" applyProtection="1">
      <alignment horizontal="left" vertical="center"/>
      <protection hidden="1"/>
    </xf>
    <xf numFmtId="0" fontId="17" fillId="12" borderId="35" xfId="2" applyFont="1" applyFill="1" applyBorder="1" applyAlignment="1" applyProtection="1">
      <alignment horizontal="left" vertical="center"/>
      <protection hidden="1"/>
    </xf>
    <xf numFmtId="0" fontId="17" fillId="12" borderId="55" xfId="2" applyFont="1" applyFill="1" applyBorder="1" applyAlignment="1" applyProtection="1">
      <alignment horizontal="left" vertical="center"/>
      <protection hidden="1"/>
    </xf>
    <xf numFmtId="0" fontId="17" fillId="12" borderId="0" xfId="2" applyFont="1" applyFill="1" applyBorder="1" applyAlignment="1" applyProtection="1">
      <alignment horizontal="left" vertical="center"/>
      <protection hidden="1"/>
    </xf>
    <xf numFmtId="0" fontId="17" fillId="12" borderId="56" xfId="2" applyFont="1" applyFill="1" applyBorder="1" applyAlignment="1" applyProtection="1">
      <alignment horizontal="left" vertical="center"/>
      <protection hidden="1"/>
    </xf>
    <xf numFmtId="0" fontId="17" fillId="12" borderId="36" xfId="2" applyFont="1" applyFill="1" applyBorder="1" applyAlignment="1" applyProtection="1">
      <alignment horizontal="left" vertical="center"/>
      <protection hidden="1"/>
    </xf>
    <xf numFmtId="0" fontId="17" fillId="12" borderId="37" xfId="2" applyFont="1" applyFill="1" applyBorder="1" applyAlignment="1" applyProtection="1">
      <alignment horizontal="left" vertical="center"/>
      <protection hidden="1"/>
    </xf>
    <xf numFmtId="0" fontId="17" fillId="12" borderId="38" xfId="2" applyFont="1" applyFill="1" applyBorder="1" applyAlignment="1" applyProtection="1">
      <alignment horizontal="left" vertical="center"/>
      <protection hidden="1"/>
    </xf>
    <xf numFmtId="0" fontId="18" fillId="9" borderId="8" xfId="0" applyFont="1" applyFill="1" applyBorder="1" applyAlignment="1" applyProtection="1">
      <alignment horizontal="center" vertical="center"/>
      <protection hidden="1"/>
    </xf>
    <xf numFmtId="0" fontId="18" fillId="9" borderId="9" xfId="0" applyFont="1" applyFill="1" applyBorder="1" applyAlignment="1" applyProtection="1">
      <alignment horizontal="center" vertical="center"/>
      <protection hidden="1"/>
    </xf>
    <xf numFmtId="0" fontId="18" fillId="9" borderId="10" xfId="0" applyFont="1" applyFill="1" applyBorder="1" applyAlignment="1" applyProtection="1">
      <alignment horizontal="center" vertical="center"/>
      <protection hidden="1"/>
    </xf>
    <xf numFmtId="9" fontId="16" fillId="2" borderId="46" xfId="1" applyNumberFormat="1" applyFont="1" applyFill="1" applyBorder="1" applyAlignment="1" applyProtection="1">
      <alignment horizontal="center" vertical="center"/>
      <protection locked="0"/>
    </xf>
    <xf numFmtId="9" fontId="16" fillId="2" borderId="47" xfId="1" applyNumberFormat="1" applyFont="1" applyFill="1" applyBorder="1" applyAlignment="1" applyProtection="1">
      <alignment horizontal="center" vertical="center"/>
      <protection locked="0"/>
    </xf>
    <xf numFmtId="9" fontId="16" fillId="2" borderId="48" xfId="1" applyNumberFormat="1" applyFont="1" applyFill="1" applyBorder="1" applyAlignment="1" applyProtection="1">
      <alignment horizontal="center" vertical="center"/>
      <protection locked="0"/>
    </xf>
    <xf numFmtId="164" fontId="16" fillId="2" borderId="49" xfId="1" applyNumberFormat="1" applyFont="1" applyFill="1" applyBorder="1" applyAlignment="1" applyProtection="1">
      <alignment horizontal="center" vertical="center"/>
      <protection locked="0"/>
    </xf>
    <xf numFmtId="164" fontId="16" fillId="2" borderId="50" xfId="1" applyNumberFormat="1" applyFont="1" applyFill="1" applyBorder="1" applyAlignment="1" applyProtection="1">
      <alignment horizontal="center" vertical="center"/>
      <protection locked="0"/>
    </xf>
    <xf numFmtId="164" fontId="16" fillId="2" borderId="51" xfId="1" applyNumberFormat="1" applyFont="1" applyFill="1" applyBorder="1" applyAlignment="1" applyProtection="1">
      <alignment horizontal="center" vertical="center"/>
      <protection locked="0"/>
    </xf>
    <xf numFmtId="0" fontId="18" fillId="9" borderId="36" xfId="0" applyFont="1" applyFill="1" applyBorder="1" applyAlignment="1" applyProtection="1">
      <alignment horizontal="center" vertical="center"/>
      <protection hidden="1"/>
    </xf>
    <xf numFmtId="0" fontId="18" fillId="9" borderId="37" xfId="0" applyFont="1" applyFill="1" applyBorder="1" applyAlignment="1" applyProtection="1">
      <alignment horizontal="center" vertical="center"/>
      <protection hidden="1"/>
    </xf>
    <xf numFmtId="0" fontId="18" fillId="9" borderId="38" xfId="0" applyFont="1" applyFill="1" applyBorder="1" applyAlignment="1" applyProtection="1">
      <alignment horizontal="center" vertical="center"/>
      <protection hidden="1"/>
    </xf>
    <xf numFmtId="0" fontId="41" fillId="12" borderId="8" xfId="0" applyFont="1" applyFill="1" applyBorder="1" applyAlignment="1">
      <alignment horizontal="center" vertical="center" wrapText="1"/>
    </xf>
    <xf numFmtId="0" fontId="41" fillId="12" borderId="9" xfId="0" applyFont="1" applyFill="1" applyBorder="1" applyAlignment="1">
      <alignment horizontal="center" vertical="center" wrapText="1"/>
    </xf>
    <xf numFmtId="0" fontId="41" fillId="12" borderId="10" xfId="0" applyFont="1" applyFill="1" applyBorder="1" applyAlignment="1">
      <alignment horizontal="center" vertical="center" wrapText="1"/>
    </xf>
    <xf numFmtId="0" fontId="43" fillId="9" borderId="0" xfId="0" applyFont="1" applyFill="1" applyBorder="1" applyAlignment="1" applyProtection="1">
      <alignment horizontal="center" vertical="center"/>
      <protection hidden="1"/>
    </xf>
    <xf numFmtId="0" fontId="43" fillId="9" borderId="11" xfId="0" applyFont="1" applyFill="1" applyBorder="1" applyAlignment="1" applyProtection="1">
      <alignment horizontal="center" vertical="center"/>
      <protection hidden="1"/>
    </xf>
    <xf numFmtId="0" fontId="32" fillId="0" borderId="0" xfId="5" applyFont="1" applyAlignment="1">
      <alignment horizontal="center"/>
    </xf>
    <xf numFmtId="0" fontId="3" fillId="0" borderId="0" xfId="5" applyFont="1" applyAlignment="1">
      <alignment horizontal="center"/>
    </xf>
    <xf numFmtId="0" fontId="34" fillId="0" borderId="11" xfId="0" applyFont="1" applyBorder="1" applyAlignment="1">
      <alignment horizontal="center"/>
    </xf>
    <xf numFmtId="0" fontId="34" fillId="7" borderId="11" xfId="0" applyFont="1" applyFill="1" applyBorder="1" applyAlignment="1">
      <alignment horizontal="center"/>
    </xf>
    <xf numFmtId="0" fontId="3" fillId="0" borderId="0" xfId="0" applyFont="1" applyAlignment="1">
      <alignment horizontal="center"/>
    </xf>
    <xf numFmtId="0" fontId="33" fillId="0" borderId="0" xfId="0" applyFont="1" applyAlignment="1">
      <alignment horizontal="center"/>
    </xf>
    <xf numFmtId="0" fontId="7" fillId="0" borderId="7" xfId="0" applyFont="1" applyBorder="1" applyAlignment="1">
      <alignment horizontal="center" vertical="center"/>
    </xf>
    <xf numFmtId="0" fontId="7" fillId="0" borderId="31"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horizontal="center" vertical="center"/>
    </xf>
  </cellXfs>
  <cellStyles count="6">
    <cellStyle name="Currency" xfId="4" builtinId="4"/>
    <cellStyle name="Hyperlink" xfId="3" builtinId="8"/>
    <cellStyle name="Normal" xfId="0" builtinId="0"/>
    <cellStyle name="Normal 2" xfId="5" xr:uid="{00000000-0005-0000-0000-000003000000}"/>
    <cellStyle name="Normal 3 2" xfId="2" xr:uid="{00000000-0005-0000-0000-000004000000}"/>
    <cellStyle name="Percent" xfId="1" builtinId="5"/>
  </cellStyles>
  <dxfs count="2">
    <dxf>
      <fill>
        <patternFill patternType="darkGrid">
          <bgColor theme="1"/>
        </patternFill>
      </fill>
    </dxf>
    <dxf>
      <fill>
        <patternFill patternType="darkGrid">
          <bgColor theme="1"/>
        </patternFill>
      </fill>
    </dxf>
  </dxfs>
  <tableStyles count="0" defaultTableStyle="TableStyleMedium2" defaultPivotStyle="PivotStyleLight16"/>
  <colors>
    <mruColors>
      <color rgb="FF2F75B5"/>
      <color rgb="FF700000"/>
      <color rgb="FFE6B4B4"/>
      <color rgb="FFC9CED1"/>
      <color rgb="FFAAD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179293</xdr:colOff>
      <xdr:row>12</xdr:row>
      <xdr:rowOff>218863</xdr:rowOff>
    </xdr:from>
    <xdr:to>
      <xdr:col>1</xdr:col>
      <xdr:colOff>134469</xdr:colOff>
      <xdr:row>14</xdr:row>
      <xdr:rowOff>3150</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179293" y="2558441"/>
          <a:ext cx="270692" cy="260537"/>
        </a:xfrm>
        <a:prstGeom prst="ellipse">
          <a:avLst/>
        </a:prstGeom>
        <a:ln w="25400">
          <a:solidFill>
            <a:srgbClr val="700000"/>
          </a:solidFill>
        </a:ln>
      </xdr:spPr>
      <xdr:style>
        <a:lnRef idx="2">
          <a:schemeClr val="accent1"/>
        </a:lnRef>
        <a:fillRef idx="1">
          <a:schemeClr val="lt1"/>
        </a:fillRef>
        <a:effectRef idx="0">
          <a:schemeClr val="accent1"/>
        </a:effectRef>
        <a:fontRef idx="minor">
          <a:schemeClr val="dk1"/>
        </a:fontRef>
      </xdr:style>
      <xdr:txBody>
        <a:bodyPr vertOverflow="clip" horzOverflow="clip" lIns="0" tIns="0" rIns="0" bIns="0" rtlCol="0" anchor="ctr"/>
        <a:lstStyle/>
        <a:p>
          <a:pPr algn="ctr"/>
          <a:r>
            <a:rPr lang="en-US" sz="1100" b="1"/>
            <a:t>2</a:t>
          </a:r>
        </a:p>
      </xdr:txBody>
    </xdr:sp>
    <xdr:clientData/>
  </xdr:twoCellAnchor>
  <xdr:twoCellAnchor>
    <xdr:from>
      <xdr:col>7</xdr:col>
      <xdr:colOff>493308</xdr:colOff>
      <xdr:row>8</xdr:row>
      <xdr:rowOff>139950</xdr:rowOff>
    </xdr:from>
    <xdr:to>
      <xdr:col>9</xdr:col>
      <xdr:colOff>1684867</xdr:colOff>
      <xdr:row>16</xdr:row>
      <xdr:rowOff>22411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457514" y="2291479"/>
          <a:ext cx="4620559" cy="166419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i="1">
              <a:solidFill>
                <a:srgbClr val="FF0000"/>
              </a:solidFill>
              <a:latin typeface="Times New Roman" panose="02020603050405020304" pitchFamily="18" charset="0"/>
              <a:cs typeface="Times New Roman" panose="02020603050405020304" pitchFamily="18" charset="0"/>
            </a:rPr>
            <a:t>Important</a:t>
          </a:r>
        </a:p>
        <a:p>
          <a:r>
            <a:rPr lang="en-US" sz="1100" i="1">
              <a:latin typeface="Times New Roman" panose="02020603050405020304" pitchFamily="18" charset="0"/>
              <a:cs typeface="Times New Roman" panose="02020603050405020304" pitchFamily="18" charset="0"/>
            </a:rPr>
            <a:t>This example is for informational purposes only and is intended to help you understand your potential health insurance costs when enrolling in a health plan.  Costs may vary based on the specific health plan you choose.  Bates College does not provide medical advice, diagnosis, or treatment.  Bates College does not recommend any specific insurance plan.  In no event will Bates College</a:t>
          </a:r>
          <a:r>
            <a:rPr lang="en-US" sz="1100" i="1" baseline="0">
              <a:latin typeface="Times New Roman" panose="02020603050405020304" pitchFamily="18" charset="0"/>
              <a:cs typeface="Times New Roman" panose="02020603050405020304" pitchFamily="18" charset="0"/>
            </a:rPr>
            <a:t> </a:t>
          </a:r>
          <a:r>
            <a:rPr lang="en-US" sz="1100" i="1">
              <a:latin typeface="Times New Roman" panose="02020603050405020304" pitchFamily="18" charset="0"/>
              <a:cs typeface="Times New Roman" panose="02020603050405020304" pitchFamily="18" charset="0"/>
            </a:rPr>
            <a:t>be liable for any indirect, direct, incidental, special, consequential or other damages arising out of or relating to the use of these examples.</a:t>
          </a:r>
        </a:p>
      </xdr:txBody>
    </xdr:sp>
    <xdr:clientData/>
  </xdr:twoCellAnchor>
  <xdr:twoCellAnchor>
    <xdr:from>
      <xdr:col>7</xdr:col>
      <xdr:colOff>375272</xdr:colOff>
      <xdr:row>8</xdr:row>
      <xdr:rowOff>33867</xdr:rowOff>
    </xdr:from>
    <xdr:to>
      <xdr:col>10</xdr:col>
      <xdr:colOff>0</xdr:colOff>
      <xdr:row>15</xdr:row>
      <xdr:rowOff>0</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5339478" y="2185396"/>
          <a:ext cx="4768228" cy="1658222"/>
        </a:xfrm>
        <a:prstGeom prst="roundRect">
          <a:avLst/>
        </a:prstGeom>
        <a:noFill/>
        <a:ln w="317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0</xdr:col>
      <xdr:colOff>174811</xdr:colOff>
      <xdr:row>14</xdr:row>
      <xdr:rowOff>10577</xdr:rowOff>
    </xdr:from>
    <xdr:to>
      <xdr:col>1</xdr:col>
      <xdr:colOff>129987</xdr:colOff>
      <xdr:row>15</xdr:row>
      <xdr:rowOff>35790</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174811" y="2826405"/>
          <a:ext cx="270692" cy="263338"/>
        </a:xfrm>
        <a:prstGeom prst="ellipse">
          <a:avLst/>
        </a:prstGeom>
        <a:ln w="25400">
          <a:solidFill>
            <a:srgbClr val="700000"/>
          </a:solidFill>
        </a:ln>
      </xdr:spPr>
      <xdr:style>
        <a:lnRef idx="2">
          <a:schemeClr val="accent1"/>
        </a:lnRef>
        <a:fillRef idx="1">
          <a:schemeClr val="lt1"/>
        </a:fillRef>
        <a:effectRef idx="0">
          <a:schemeClr val="accent1"/>
        </a:effectRef>
        <a:fontRef idx="minor">
          <a:schemeClr val="dk1"/>
        </a:fontRef>
      </xdr:style>
      <xdr:txBody>
        <a:bodyPr vertOverflow="clip" horzOverflow="clip" lIns="0" tIns="0" rIns="0" bIns="0" rtlCol="0" anchor="ctr"/>
        <a:lstStyle/>
        <a:p>
          <a:pPr algn="ctr"/>
          <a:r>
            <a:rPr lang="en-US" sz="1100" b="1"/>
            <a:t>3</a:t>
          </a:r>
        </a:p>
      </xdr:txBody>
    </xdr:sp>
    <xdr:clientData/>
  </xdr:twoCellAnchor>
  <xdr:twoCellAnchor>
    <xdr:from>
      <xdr:col>0</xdr:col>
      <xdr:colOff>180835</xdr:colOff>
      <xdr:row>9</xdr:row>
      <xdr:rowOff>21290</xdr:rowOff>
    </xdr:from>
    <xdr:to>
      <xdr:col>1</xdr:col>
      <xdr:colOff>136011</xdr:colOff>
      <xdr:row>10</xdr:row>
      <xdr:rowOff>43701</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180835" y="1640540"/>
          <a:ext cx="269501" cy="260536"/>
        </a:xfrm>
        <a:prstGeom prst="ellipse">
          <a:avLst/>
        </a:prstGeom>
        <a:ln w="25400">
          <a:solidFill>
            <a:srgbClr val="700000"/>
          </a:solidFill>
        </a:ln>
      </xdr:spPr>
      <xdr:style>
        <a:lnRef idx="2">
          <a:schemeClr val="accent1"/>
        </a:lnRef>
        <a:fillRef idx="1">
          <a:schemeClr val="lt1"/>
        </a:fillRef>
        <a:effectRef idx="0">
          <a:schemeClr val="accent1"/>
        </a:effectRef>
        <a:fontRef idx="minor">
          <a:schemeClr val="dk1"/>
        </a:fontRef>
      </xdr:style>
      <xdr:txBody>
        <a:bodyPr vertOverflow="clip" horzOverflow="clip" lIns="0" tIns="0" rIns="0" bIns="0" rtlCol="0" anchor="ctr"/>
        <a:lstStyle/>
        <a:p>
          <a:pPr algn="ctr"/>
          <a:r>
            <a:rPr lang="en-US" sz="1100" b="1"/>
            <a:t>1</a:t>
          </a:r>
        </a:p>
      </xdr:txBody>
    </xdr:sp>
    <xdr:clientData/>
  </xdr:twoCellAnchor>
  <xdr:twoCellAnchor>
    <xdr:from>
      <xdr:col>1</xdr:col>
      <xdr:colOff>1</xdr:colOff>
      <xdr:row>50</xdr:row>
      <xdr:rowOff>11205</xdr:rowOff>
    </xdr:from>
    <xdr:to>
      <xdr:col>10</xdr:col>
      <xdr:colOff>56031</xdr:colOff>
      <xdr:row>51</xdr:row>
      <xdr:rowOff>67235</xdr:rowOff>
    </xdr:to>
    <xdr:sp macro="" textlink="$H$72">
      <xdr:nvSpPr>
        <xdr:cNvPr id="11" name="Rounded Rectangle 10">
          <a:extLst>
            <a:ext uri="{FF2B5EF4-FFF2-40B4-BE49-F238E27FC236}">
              <a16:creationId xmlns:a16="http://schemas.microsoft.com/office/drawing/2014/main" id="{00000000-0008-0000-0000-00000B000000}"/>
            </a:ext>
          </a:extLst>
        </xdr:cNvPr>
        <xdr:cNvSpPr/>
      </xdr:nvSpPr>
      <xdr:spPr>
        <a:xfrm>
          <a:off x="313766" y="9278470"/>
          <a:ext cx="9749118" cy="268941"/>
        </a:xfrm>
        <a:prstGeom prst="roundRect">
          <a:avLst/>
        </a:prstGeom>
        <a:gradFill>
          <a:gsLst>
            <a:gs pos="0">
              <a:srgbClr val="2F75B5"/>
            </a:gs>
            <a:gs pos="100000">
              <a:srgbClr val="700000"/>
            </a:gs>
            <a:gs pos="100000">
              <a:schemeClr val="accent5">
                <a:lumMod val="99000"/>
                <a:satMod val="120000"/>
                <a:shade val="78000"/>
              </a:schemeClr>
            </a:gs>
          </a:gsLst>
        </a:gradFill>
        <a:ln/>
      </xdr:spPr>
      <xdr:style>
        <a:lnRef idx="0">
          <a:schemeClr val="accent5"/>
        </a:lnRef>
        <a:fillRef idx="3">
          <a:schemeClr val="accent5"/>
        </a:fillRef>
        <a:effectRef idx="3">
          <a:schemeClr val="accent5"/>
        </a:effectRef>
        <a:fontRef idx="minor">
          <a:schemeClr val="lt1"/>
        </a:fontRef>
      </xdr:style>
      <xdr:txBody>
        <a:bodyPr vertOverflow="clip" horzOverflow="clip" lIns="0" tIns="0" rIns="0" bIns="0" rtlCol="0" anchor="ctr"/>
        <a:lstStyle/>
        <a:p>
          <a:pPr algn="ctr"/>
          <a:fld id="{CF0C7958-04FC-47E3-B5D0-FAD6D03AB03C}" type="TxLink">
            <a:rPr lang="en-US" sz="1300" b="1" i="0" u="none" strike="noStrike">
              <a:solidFill>
                <a:schemeClr val="bg1"/>
              </a:solidFill>
              <a:latin typeface="Times New Roman" panose="02020603050405020304" pitchFamily="18" charset="0"/>
              <a:cs typeface="Times New Roman" panose="02020603050405020304" pitchFamily="18" charset="0"/>
            </a:rPr>
            <a:pPr algn="ctr"/>
            <a:t>Your Best Plan Option: HDHP Plan</a:t>
          </a:fld>
          <a:endParaRPr lang="en-US" sz="13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168088</xdr:colOff>
      <xdr:row>19</xdr:row>
      <xdr:rowOff>145677</xdr:rowOff>
    </xdr:from>
    <xdr:to>
      <xdr:col>1</xdr:col>
      <xdr:colOff>123264</xdr:colOff>
      <xdr:row>20</xdr:row>
      <xdr:rowOff>193302</xdr:rowOff>
    </xdr:to>
    <xdr:sp macro="" textlink="">
      <xdr:nvSpPr>
        <xdr:cNvPr id="12" name="Oval 11">
          <a:extLst>
            <a:ext uri="{FF2B5EF4-FFF2-40B4-BE49-F238E27FC236}">
              <a16:creationId xmlns:a16="http://schemas.microsoft.com/office/drawing/2014/main" id="{00000000-0008-0000-0000-00000C000000}"/>
            </a:ext>
          </a:extLst>
        </xdr:cNvPr>
        <xdr:cNvSpPr/>
      </xdr:nvSpPr>
      <xdr:spPr>
        <a:xfrm>
          <a:off x="168088" y="4000501"/>
          <a:ext cx="268941" cy="260536"/>
        </a:xfrm>
        <a:prstGeom prst="ellipse">
          <a:avLst/>
        </a:prstGeom>
        <a:ln w="25400">
          <a:solidFill>
            <a:srgbClr val="700000"/>
          </a:solidFill>
        </a:ln>
      </xdr:spPr>
      <xdr:style>
        <a:lnRef idx="2">
          <a:schemeClr val="accent1"/>
        </a:lnRef>
        <a:fillRef idx="1">
          <a:schemeClr val="lt1"/>
        </a:fillRef>
        <a:effectRef idx="0">
          <a:schemeClr val="accent1"/>
        </a:effectRef>
        <a:fontRef idx="minor">
          <a:schemeClr val="dk1"/>
        </a:fontRef>
      </xdr:style>
      <xdr:txBody>
        <a:bodyPr vertOverflow="clip" horzOverflow="clip" lIns="0" tIns="0" rIns="0" bIns="0" rtlCol="0" anchor="ctr"/>
        <a:lstStyle/>
        <a:p>
          <a:pPr algn="ctr"/>
          <a:r>
            <a:rPr lang="en-US" sz="1100" b="1"/>
            <a:t>4</a:t>
          </a:r>
        </a:p>
      </xdr:txBody>
    </xdr:sp>
    <xdr:clientData/>
  </xdr:twoCellAnchor>
  <xdr:twoCellAnchor editAs="oneCell">
    <xdr:from>
      <xdr:col>1</xdr:col>
      <xdr:colOff>42335</xdr:colOff>
      <xdr:row>0</xdr:row>
      <xdr:rowOff>93134</xdr:rowOff>
    </xdr:from>
    <xdr:to>
      <xdr:col>5</xdr:col>
      <xdr:colOff>308193</xdr:colOff>
      <xdr:row>0</xdr:row>
      <xdr:rowOff>617082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4068" y="93134"/>
          <a:ext cx="1552792" cy="523948"/>
        </a:xfrm>
        <a:prstGeom prst="rect">
          <a:avLst/>
        </a:prstGeom>
      </xdr:spPr>
    </xdr:pic>
    <xdr:clientData/>
  </xdr:twoCellAnchor>
</xdr:wsDr>
</file>

<file path=xl/theme/theme1.xml><?xml version="1.0" encoding="utf-8"?>
<a:theme xmlns:a="http://schemas.openxmlformats.org/drawingml/2006/main" name="NFP Theme">
  <a:themeElements>
    <a:clrScheme name="NFP">
      <a:dk1>
        <a:sysClr val="windowText" lastClr="000000"/>
      </a:dk1>
      <a:lt1>
        <a:sysClr val="window" lastClr="FFFFFF"/>
      </a:lt1>
      <a:dk2>
        <a:srgbClr val="EB9D00"/>
      </a:dk2>
      <a:lt2>
        <a:srgbClr val="F6D03A"/>
      </a:lt2>
      <a:accent1>
        <a:srgbClr val="4F9237"/>
      </a:accent1>
      <a:accent2>
        <a:srgbClr val="00AAC3"/>
      </a:accent2>
      <a:accent3>
        <a:srgbClr val="0074BC"/>
      </a:accent3>
      <a:accent4>
        <a:srgbClr val="9A498B"/>
      </a:accent4>
      <a:accent5>
        <a:srgbClr val="DD5143"/>
      </a:accent5>
      <a:accent6>
        <a:srgbClr val="858F98"/>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E75"/>
  <sheetViews>
    <sheetView showGridLines="0" tabSelected="1" zoomScale="85" zoomScaleNormal="85" zoomScaleSheetLayoutView="70" workbookViewId="0">
      <selection activeCell="B26" sqref="B26"/>
    </sheetView>
  </sheetViews>
  <sheetFormatPr defaultColWidth="9.140625" defaultRowHeight="15" x14ac:dyDescent="0.25"/>
  <cols>
    <col min="1" max="5" width="4.7109375" style="17" customWidth="1"/>
    <col min="6" max="6" width="50.85546875" style="17" customWidth="1"/>
    <col min="7" max="7" width="47" style="17" customWidth="1"/>
    <col min="8" max="10" width="25.7109375" style="17" customWidth="1"/>
    <col min="11" max="11" width="3.7109375" style="17" customWidth="1"/>
    <col min="12" max="14" width="3.7109375" style="17" hidden="1" customWidth="1"/>
    <col min="15" max="24" width="15.7109375" style="18" hidden="1" customWidth="1"/>
    <col min="25" max="25" width="13.7109375" style="18" hidden="1" customWidth="1"/>
    <col min="26" max="28" width="12.7109375" style="17" hidden="1" customWidth="1"/>
    <col min="29" max="29" width="2.7109375" style="17" hidden="1" customWidth="1"/>
    <col min="30" max="30" width="15.7109375" style="17" hidden="1" customWidth="1"/>
    <col min="31" max="33" width="12.7109375" style="17" hidden="1" customWidth="1"/>
    <col min="34" max="34" width="2.7109375" style="17" hidden="1" customWidth="1"/>
    <col min="35" max="37" width="15.7109375" style="17" hidden="1" customWidth="1"/>
    <col min="38" max="38" width="2.7109375" style="17" hidden="1" customWidth="1"/>
    <col min="39" max="41" width="15.7109375" style="17" hidden="1" customWidth="1"/>
    <col min="42" max="42" width="2.7109375" style="17" hidden="1" customWidth="1"/>
    <col min="43" max="44" width="15.7109375" style="17" hidden="1" customWidth="1"/>
    <col min="45" max="45" width="15.7109375" style="83" hidden="1" customWidth="1"/>
    <col min="46" max="46" width="2.7109375" style="17" hidden="1" customWidth="1"/>
    <col min="47" max="48" width="15.7109375" style="17" hidden="1" customWidth="1"/>
    <col min="49" max="49" width="15.7109375" style="83" hidden="1" customWidth="1"/>
    <col min="50" max="50" width="2.7109375" style="17" hidden="1" customWidth="1"/>
    <col min="51" max="52" width="15.7109375" style="17" hidden="1" customWidth="1"/>
    <col min="53" max="53" width="15.7109375" style="83" hidden="1" customWidth="1"/>
    <col min="54" max="54" width="2" style="17" hidden="1" customWidth="1"/>
    <col min="55" max="56" width="15.7109375" style="17" hidden="1" customWidth="1"/>
    <col min="57" max="57" width="14.42578125" style="17" hidden="1" customWidth="1"/>
    <col min="58" max="90" width="9.140625" style="17" customWidth="1"/>
    <col min="91" max="16384" width="9.140625" style="17"/>
  </cols>
  <sheetData>
    <row r="1" spans="2:57" s="6" customFormat="1" ht="57.6" customHeight="1" x14ac:dyDescent="0.25">
      <c r="B1" s="4"/>
      <c r="C1" s="4"/>
      <c r="D1" s="4"/>
      <c r="E1" s="4"/>
      <c r="F1" s="5"/>
      <c r="G1" s="5"/>
      <c r="H1" s="5"/>
      <c r="I1" s="5"/>
      <c r="J1" s="5"/>
      <c r="O1" s="7"/>
      <c r="P1" s="7"/>
      <c r="Q1" s="7"/>
      <c r="R1" s="7"/>
      <c r="S1" s="7"/>
      <c r="T1" s="7"/>
      <c r="U1" s="7"/>
      <c r="V1" s="7"/>
      <c r="W1" s="7"/>
      <c r="X1" s="7"/>
      <c r="Y1" s="7"/>
      <c r="AA1" s="213"/>
      <c r="AB1" s="214" t="s">
        <v>119</v>
      </c>
      <c r="AC1" s="213"/>
      <c r="AD1" s="213"/>
      <c r="AS1" s="206"/>
      <c r="AW1" s="206"/>
      <c r="BA1" s="206"/>
    </row>
    <row r="2" spans="2:57" s="6" customFormat="1" ht="15.75" x14ac:dyDescent="0.25">
      <c r="B2" s="8" t="s">
        <v>118</v>
      </c>
      <c r="C2" s="8"/>
      <c r="D2" s="8"/>
      <c r="E2" s="8"/>
      <c r="F2" s="5"/>
      <c r="G2" s="5"/>
      <c r="H2" s="5"/>
      <c r="I2" s="5"/>
      <c r="J2" s="5"/>
      <c r="O2" s="7"/>
      <c r="P2" s="7"/>
      <c r="Q2" s="7"/>
      <c r="R2" s="7"/>
      <c r="S2" s="7"/>
      <c r="T2" s="7"/>
      <c r="U2" s="7"/>
      <c r="V2" s="7"/>
      <c r="W2" s="7"/>
      <c r="X2" s="7"/>
      <c r="Y2" s="7"/>
      <c r="Z2" s="9" t="s">
        <v>56</v>
      </c>
      <c r="AB2" s="211">
        <v>2023</v>
      </c>
      <c r="AS2" s="206"/>
      <c r="AW2" s="206"/>
      <c r="BA2" s="206"/>
    </row>
    <row r="3" spans="2:57" s="6" customFormat="1" ht="6" customHeight="1" x14ac:dyDescent="0.25">
      <c r="B3" s="10"/>
      <c r="C3" s="10"/>
      <c r="D3" s="10"/>
      <c r="E3" s="10"/>
      <c r="F3" s="5"/>
      <c r="G3" s="5"/>
      <c r="H3" s="5"/>
      <c r="I3" s="5"/>
      <c r="J3" s="5"/>
      <c r="O3" s="7"/>
      <c r="P3" s="7"/>
      <c r="Q3" s="7"/>
      <c r="R3" s="7"/>
      <c r="S3" s="7"/>
      <c r="T3" s="7"/>
      <c r="U3" s="7"/>
      <c r="V3" s="7"/>
      <c r="W3" s="7"/>
      <c r="X3" s="7"/>
      <c r="Y3" s="7"/>
      <c r="AB3" s="212"/>
      <c r="AS3" s="206"/>
      <c r="AW3" s="206"/>
      <c r="BA3" s="206"/>
    </row>
    <row r="4" spans="2:57" s="6" customFormat="1" x14ac:dyDescent="0.25">
      <c r="B4" s="11" t="s">
        <v>48</v>
      </c>
      <c r="C4" s="11"/>
      <c r="D4" s="11"/>
      <c r="E4" s="11"/>
      <c r="F4" s="5"/>
      <c r="G4" s="5"/>
      <c r="H4" s="5"/>
      <c r="I4" s="5"/>
      <c r="J4" s="5"/>
      <c r="O4" s="7"/>
      <c r="P4" s="7"/>
      <c r="Q4" s="7"/>
      <c r="R4" s="7"/>
      <c r="S4" s="7"/>
      <c r="T4" s="7"/>
      <c r="U4" s="7"/>
      <c r="V4" s="7"/>
      <c r="W4" s="7"/>
      <c r="X4" s="7"/>
      <c r="Y4" s="12" t="s">
        <v>50</v>
      </c>
      <c r="Z4" s="258">
        <f>(IF($B$10=AA4,AB4-J64,AB5-J46))/12</f>
        <v>530.83333333333337</v>
      </c>
      <c r="AA4" s="13" t="s">
        <v>18</v>
      </c>
      <c r="AB4" s="13">
        <v>3850</v>
      </c>
      <c r="AS4" s="206"/>
      <c r="AW4" s="206"/>
      <c r="BA4" s="206"/>
    </row>
    <row r="5" spans="2:57" s="6" customFormat="1" x14ac:dyDescent="0.25">
      <c r="B5" s="11" t="s">
        <v>116</v>
      </c>
      <c r="C5" s="11"/>
      <c r="D5" s="11"/>
      <c r="E5" s="11"/>
      <c r="F5" s="5"/>
      <c r="G5" s="5"/>
      <c r="H5" s="5"/>
      <c r="I5" s="5"/>
      <c r="J5" s="5"/>
      <c r="O5" s="7"/>
      <c r="P5" s="7"/>
      <c r="Q5" s="7"/>
      <c r="R5" s="7"/>
      <c r="S5" s="7"/>
      <c r="T5" s="7"/>
      <c r="U5" s="7"/>
      <c r="V5" s="7"/>
      <c r="W5" s="7"/>
      <c r="X5" s="7"/>
      <c r="Y5" s="7"/>
      <c r="AA5" s="13" t="s">
        <v>16</v>
      </c>
      <c r="AB5" s="13">
        <v>7750</v>
      </c>
      <c r="AS5" s="206"/>
      <c r="AW5" s="206"/>
      <c r="BA5" s="206"/>
    </row>
    <row r="6" spans="2:57" s="6" customFormat="1" ht="30" customHeight="1" x14ac:dyDescent="0.25">
      <c r="B6" s="286" t="str">
        <f>"Step 3: Enter your personal monthly HSA contribution.  Note:  The total contributions to the HSA (EE + Bates) are limited to "&amp;TEXT($AB$4,"$#,###")&amp;" for an individual and "&amp;TEXT($AB$5,"$#,###")&amp;" for a family in 
           "&amp;$AB$2&amp;".  Employees age 55 and over can make an additional $1,000 catch-up contribution, however, catch up contributions can not be included in this tool for calculation purposes."</f>
        <v>Step 3: Enter your personal monthly HSA contribution.  Note:  The total contributions to the HSA (EE + Bates) are limited to $3,850 for an individual and $7,750 for a family in 
           2023.  Employees age 55 and over can make an additional $1,000 catch-up contribution, however, catch up contributions can not be included in this tool for calculation purposes.</v>
      </c>
      <c r="C6" s="286"/>
      <c r="D6" s="286"/>
      <c r="E6" s="286"/>
      <c r="F6" s="286"/>
      <c r="G6" s="286"/>
      <c r="H6" s="286"/>
      <c r="I6" s="286"/>
      <c r="J6" s="286"/>
      <c r="O6" s="7"/>
      <c r="P6" s="7"/>
      <c r="Q6" s="7"/>
      <c r="R6" s="7"/>
      <c r="S6" s="7"/>
      <c r="T6" s="7"/>
      <c r="U6" s="7"/>
      <c r="V6" s="7"/>
      <c r="W6" s="7"/>
      <c r="X6" s="7"/>
      <c r="Y6" s="7"/>
      <c r="AA6" s="87" t="s">
        <v>69</v>
      </c>
      <c r="AS6" s="206"/>
      <c r="AW6" s="206"/>
      <c r="BA6" s="206"/>
    </row>
    <row r="7" spans="2:57" s="6" customFormat="1" x14ac:dyDescent="0.25">
      <c r="B7" s="11" t="s">
        <v>49</v>
      </c>
      <c r="C7" s="14"/>
      <c r="D7" s="14"/>
      <c r="E7" s="14"/>
      <c r="F7" s="5"/>
      <c r="G7" s="5"/>
      <c r="H7" s="5"/>
      <c r="I7" s="5"/>
      <c r="J7" s="5"/>
      <c r="O7" s="7"/>
      <c r="P7" s="7"/>
      <c r="Q7" s="7"/>
      <c r="R7" s="7"/>
      <c r="S7" s="7"/>
      <c r="T7" s="7"/>
      <c r="U7" s="7"/>
      <c r="V7" s="7"/>
      <c r="W7" s="7"/>
      <c r="X7" s="7"/>
      <c r="Y7" s="15"/>
      <c r="Z7" s="9" t="s">
        <v>67</v>
      </c>
      <c r="AA7" s="9" t="s">
        <v>68</v>
      </c>
      <c r="AB7" s="9" t="s">
        <v>17</v>
      </c>
      <c r="AS7" s="206"/>
      <c r="AW7" s="206"/>
      <c r="BA7" s="206"/>
    </row>
    <row r="8" spans="2:57" x14ac:dyDescent="0.25">
      <c r="B8" s="16"/>
      <c r="C8" s="16"/>
      <c r="D8" s="16"/>
      <c r="E8" s="16"/>
      <c r="F8" s="16"/>
      <c r="G8" s="16"/>
      <c r="H8" s="16"/>
      <c r="I8" s="16"/>
      <c r="J8" s="16"/>
      <c r="Y8" s="15" t="s">
        <v>30</v>
      </c>
      <c r="Z8" s="19">
        <v>1250</v>
      </c>
      <c r="AA8" s="19">
        <f>+AA12</f>
        <v>250</v>
      </c>
      <c r="AB8" s="19">
        <f>AB12</f>
        <v>3000</v>
      </c>
    </row>
    <row r="9" spans="2:57" ht="18" customHeight="1" x14ac:dyDescent="0.25">
      <c r="B9" s="296" t="s">
        <v>24</v>
      </c>
      <c r="C9" s="297"/>
      <c r="D9" s="297"/>
      <c r="E9" s="297"/>
      <c r="F9" s="298"/>
      <c r="G9" s="20"/>
      <c r="H9" s="16"/>
      <c r="I9" s="16"/>
      <c r="J9" s="21"/>
      <c r="Y9" s="15" t="s">
        <v>47</v>
      </c>
      <c r="Z9" s="19">
        <f>+Z14</f>
        <v>3000</v>
      </c>
      <c r="AA9" s="19">
        <f>+AA14</f>
        <v>1500</v>
      </c>
      <c r="AB9" s="19">
        <f>AB14</f>
        <v>3500</v>
      </c>
    </row>
    <row r="10" spans="2:57" ht="18.75" customHeight="1" x14ac:dyDescent="0.25">
      <c r="B10" s="280" t="s">
        <v>20</v>
      </c>
      <c r="C10" s="281"/>
      <c r="D10" s="281"/>
      <c r="E10" s="282"/>
      <c r="F10" s="84" t="s">
        <v>0</v>
      </c>
      <c r="G10" s="22"/>
      <c r="H10" s="16"/>
      <c r="I10" s="22"/>
      <c r="J10" s="21"/>
      <c r="Y10" s="15"/>
      <c r="Z10" s="87" t="s">
        <v>70</v>
      </c>
      <c r="AA10" s="87" t="s">
        <v>70</v>
      </c>
      <c r="AB10" s="87" t="s">
        <v>70</v>
      </c>
      <c r="AC10" s="105" t="s">
        <v>77</v>
      </c>
      <c r="AD10" s="105"/>
      <c r="AE10" s="105"/>
      <c r="AF10" s="103"/>
      <c r="AG10" s="104"/>
      <c r="AM10" s="261" t="s">
        <v>59</v>
      </c>
      <c r="AN10" s="261"/>
      <c r="AO10" s="261"/>
      <c r="AP10" s="6"/>
      <c r="AQ10" s="261" t="s">
        <v>60</v>
      </c>
      <c r="AR10" s="261"/>
      <c r="AS10" s="261"/>
      <c r="AT10" s="210"/>
      <c r="AU10" s="259" t="s">
        <v>62</v>
      </c>
      <c r="AV10" s="259"/>
      <c r="AW10" s="259"/>
      <c r="AX10" s="6"/>
      <c r="AY10" s="259" t="s">
        <v>63</v>
      </c>
      <c r="AZ10" s="259"/>
      <c r="BA10" s="259"/>
      <c r="BB10" s="6"/>
      <c r="BC10" s="261" t="s">
        <v>64</v>
      </c>
      <c r="BD10" s="261"/>
      <c r="BE10" s="261"/>
    </row>
    <row r="11" spans="2:57" ht="18.75" customHeight="1" x14ac:dyDescent="0.25">
      <c r="B11" s="283">
        <f>VLOOKUP($B$10,'Payroll Contributions'!$A$3:$I$6,7,FALSE)</f>
        <v>457.72</v>
      </c>
      <c r="C11" s="284"/>
      <c r="D11" s="284"/>
      <c r="E11" s="285"/>
      <c r="F11" s="85" t="str">
        <f>'Payroll Contributions'!$B$2&amp;" Monthly Payroll Deduction"</f>
        <v>PPO Monthly Payroll Deduction</v>
      </c>
      <c r="G11" s="23"/>
      <c r="H11" s="16"/>
      <c r="I11" s="21"/>
      <c r="J11" s="21"/>
      <c r="Y11" s="15"/>
      <c r="Z11" s="81"/>
      <c r="AA11" s="81"/>
      <c r="AB11" s="81"/>
      <c r="AK11" s="24" t="s">
        <v>37</v>
      </c>
      <c r="AM11" s="19">
        <f>MIN(SUMIF(Z22:Z34,"Y",$T$22:$T$34),$Z$8)</f>
        <v>0</v>
      </c>
      <c r="AN11" s="19">
        <f>MIN(SUMIF($AA$22:$AA$34,"Y",$T$22:$T$34),$AA$8)</f>
        <v>0</v>
      </c>
      <c r="AO11" s="19">
        <f>MIN(SUMIF(AB22:AB34,"Y",$T$22:$T$34),AB8)</f>
        <v>110</v>
      </c>
      <c r="AQ11" s="19">
        <f>MIN(SUMIF($Z$22:$Z$34,"Y",$U$22:$U$34),$Z$8)</f>
        <v>0</v>
      </c>
      <c r="AR11" s="19">
        <f>MIN(SUMIF($AA$22:$AA$34,"Y",$U$22:$U$34),$AA$8)</f>
        <v>0</v>
      </c>
      <c r="AS11" s="43">
        <f>MIN(SUMIF($AB$22:$AB$34,"Y",$U$22:$U$34),$AB$8)</f>
        <v>0</v>
      </c>
      <c r="AU11" s="19">
        <f>MIN(SUMIF($Z$22:$Z$34,"Y",$V$22:$V$34),$Z$8)</f>
        <v>0</v>
      </c>
      <c r="AV11" s="19">
        <f>MIN(SUMIF($AA$22:$AA$34,"Y",$V$22:$V$34),$AA$8)</f>
        <v>0</v>
      </c>
      <c r="AW11" s="43">
        <f>MIN(SUMIF($AB$22:$AB$34,"Y",$V$22:$V$34),$AB$8)</f>
        <v>0</v>
      </c>
      <c r="AY11" s="19">
        <f>MIN(SUMIF($Z$22:$Z$34,"Y",$W$22:$W$34),$Z$8)</f>
        <v>0</v>
      </c>
      <c r="AZ11" s="19">
        <f>MIN(SUMIF($AA$22:$AA$34,"Y",$W$22:$W$34),$AA$8)</f>
        <v>0</v>
      </c>
      <c r="BA11" s="43">
        <f>MIN(SUMIF($AB$22:$AB$34,"Y",$W$22:$W$34),$AB$8)</f>
        <v>0</v>
      </c>
      <c r="BC11" s="19">
        <f>MIN(SUM(AM11,AQ11,AU11,AY11),Z13)</f>
        <v>0</v>
      </c>
      <c r="BD11" s="19">
        <f>MIN(SUM(AN11,AR11,AV11,AZ11),AA13)</f>
        <v>0</v>
      </c>
      <c r="BE11" s="19">
        <f>MIN(SUM(AO11,AS11,AW11,BA11),AB13)</f>
        <v>110</v>
      </c>
    </row>
    <row r="12" spans="2:57" ht="18.75" customHeight="1" x14ac:dyDescent="0.25">
      <c r="B12" s="283">
        <f>VLOOKUP($B$10,'Payroll Contributions'!$A$3:$I$6,8,FALSE)</f>
        <v>423.01</v>
      </c>
      <c r="C12" s="284"/>
      <c r="D12" s="284"/>
      <c r="E12" s="285"/>
      <c r="F12" s="85" t="str">
        <f>'Payroll Contributions'!$C$2&amp;" Monthly Payroll Deduction"</f>
        <v>ACO Monthly Payroll Deduction</v>
      </c>
      <c r="G12" s="23"/>
      <c r="H12" s="16"/>
      <c r="I12" s="21"/>
      <c r="J12" s="21"/>
      <c r="Y12" s="15" t="s">
        <v>51</v>
      </c>
      <c r="Z12" s="80">
        <v>1250</v>
      </c>
      <c r="AA12" s="80">
        <v>250</v>
      </c>
      <c r="AB12" s="80">
        <v>3000</v>
      </c>
      <c r="AK12" s="24" t="s">
        <v>38</v>
      </c>
      <c r="AM12" s="19">
        <f>SUMIF($Z$22:$Z$34,"Y",$T22:$T34)-AM11</f>
        <v>0</v>
      </c>
      <c r="AN12" s="19">
        <f>SUMIF($AA$22:$AA$34,"Y",$T22:$T34)-AN11</f>
        <v>0</v>
      </c>
      <c r="AO12" s="19">
        <f>SUMIF(AB22:AB34,"Y",$T22:$T34)-AO11</f>
        <v>0</v>
      </c>
      <c r="AQ12" s="19">
        <f>SUMIF($Z$22:$Z$34,"Y",$U22:$U34)-AQ11</f>
        <v>0</v>
      </c>
      <c r="AR12" s="19">
        <f>SUMIF($AA$22:$AA$34,"Y",$U22:$U34)-AR11</f>
        <v>0</v>
      </c>
      <c r="AS12" s="43">
        <f>SUMIF($AB$22:$AB$34,"Y",$U22:$U34)-AS11</f>
        <v>0</v>
      </c>
      <c r="AU12" s="19">
        <f>SUMIF($Z$22:$Z$34,"Y",$V22:$V34)-AU11</f>
        <v>0</v>
      </c>
      <c r="AV12" s="19">
        <f>SUMIF($AA$22:$AA$34,"Y",$V22:$V34)-AV11</f>
        <v>0</v>
      </c>
      <c r="AW12" s="43">
        <f>SUMIF($AB$22:$AB$34,"Y",$V22:$V34)-AW11</f>
        <v>0</v>
      </c>
      <c r="AY12" s="19">
        <f>SUMIF($Z$22:$Z$34,"Y",$W22:$W34)-AY11</f>
        <v>0</v>
      </c>
      <c r="AZ12" s="19">
        <f>SUMIF($AA$22:$AA$34,"Y",$W22:$W34)-AZ11</f>
        <v>0</v>
      </c>
      <c r="BA12" s="43">
        <f>SUMIF($AB$22:$AB$34,"Y",$W22:$W34)-BA11</f>
        <v>0</v>
      </c>
      <c r="BC12" s="19"/>
      <c r="BD12" s="19"/>
    </row>
    <row r="13" spans="2:57" ht="18.75" customHeight="1" x14ac:dyDescent="0.25">
      <c r="B13" s="283">
        <f>VLOOKUP($B$10,'Payroll Contributions'!$A$3:$I$6,9,FALSE)</f>
        <v>284.95999999999998</v>
      </c>
      <c r="C13" s="284"/>
      <c r="D13" s="284"/>
      <c r="E13" s="285"/>
      <c r="F13" s="85" t="str">
        <f>'Payroll Contributions'!$D$2&amp;" Monthly Payroll Deduction"</f>
        <v>HDHP Monthly Payroll Deduction</v>
      </c>
      <c r="G13" s="23"/>
      <c r="H13" s="16"/>
      <c r="I13" s="21"/>
      <c r="J13" s="21"/>
      <c r="Y13" s="25" t="s">
        <v>52</v>
      </c>
      <c r="Z13" s="26">
        <v>2500</v>
      </c>
      <c r="AA13" s="26">
        <v>500</v>
      </c>
      <c r="AB13" s="26">
        <v>6000</v>
      </c>
      <c r="AK13" s="24" t="s">
        <v>39</v>
      </c>
      <c r="AM13" s="27">
        <f>IFERROR((SUMPRODUCT($AI$25:$AI$28,$T$25:$T$28)+SUMPRODUCT($AI$33:$AI$34,$T$33:$T$34))/SUM($T25:$T28,$T33:$T34),0)</f>
        <v>0</v>
      </c>
      <c r="AN13" s="27">
        <f>IFERROR((SUMPRODUCT($AJ$25:$AJ$28,$T25:$T28)+SUMPRODUCT($AJ$33:$AJ$34,$T33:$T34))/SUM($T25:$T28,$T33:$T34),0)</f>
        <v>0</v>
      </c>
      <c r="AO13" s="27">
        <f>IFERROR((SUMPRODUCT(AK22:AK28,$T22:$T28)+SUMPRODUCT(AK29:AK34,$T29:$T34))/SUM($T22:$T28,$T29:$T34),0)</f>
        <v>0.2</v>
      </c>
      <c r="AQ13" s="27">
        <f>IFERROR((SUMPRODUCT($AI$25:$AI$28,$U$25:$U$28)+SUMPRODUCT($AI$33:$AI$34,$U$33:$U$34))/SUM($U25:$U28,$U33:$U34),0)</f>
        <v>0</v>
      </c>
      <c r="AR13" s="27">
        <f>IFERROR((SUMPRODUCT($AJ$25:$AJ$28,$U25:$U28)+SUMPRODUCT($AJ$33:$AJ$34,$U33:$U34))/SUM($U25:$U28,$U33:$U34),0)</f>
        <v>0</v>
      </c>
      <c r="AS13" s="208">
        <f>IFERROR((SUMPRODUCT(AK22:AK28,$U22:$U28)+SUMPRODUCT(AK29:AK34,$U29:$U34))/SUM($U22:$U28,$U29:$U34),0)</f>
        <v>0</v>
      </c>
      <c r="AU13" s="27">
        <f>IFERROR((SUMPRODUCT($AI$25:$AI$28,$V$25:$V$28)+SUMPRODUCT($AI$33:$AI$34,$V$33:$V$34))/SUM($V25:$V28,$V33:$V34),0)</f>
        <v>0</v>
      </c>
      <c r="AV13" s="27">
        <f>IFERROR((SUMPRODUCT($AJ$25:$AJ$28,$V25:$V28)+SUMPRODUCT($AJ$33:$AJ$34,$V33:$V34))/SUM($V25:$V28,$V33:$V34),0)</f>
        <v>0</v>
      </c>
      <c r="AW13" s="208">
        <f>IFERROR((SUMPRODUCT(AK22:AK28,$V22:$V28)+SUMPRODUCT(AK29:AK34,$V29:$V34))/SUM($V22:$V28,$V29:$V34),0)</f>
        <v>0</v>
      </c>
      <c r="AY13" s="27">
        <f>IFERROR((SUMPRODUCT($AI$25:$AI$28,$W$25:$W$28)+SUMPRODUCT($AI$33:$AI$34,$W$33:$W$34))/SUM($W25:$W28,$W33:$W34),0)</f>
        <v>0</v>
      </c>
      <c r="AZ13" s="27">
        <f>IFERROR((SUMPRODUCT($AJ$25:$AJ$28,$V25:$V28)+SUMPRODUCT($AJ$33:$AJ$34,$V33:$V34))/SUM($V25:$V28,$V33:$V34),0)</f>
        <v>0</v>
      </c>
      <c r="BA13" s="208">
        <f>IFERROR((SUMPRODUCT(AK22:AK28,$W22:$W28)+SUMPRODUCT(AK29:AK34,$W29:$W34))/SUM($W22:$W28,$W29:$W34),0)</f>
        <v>0</v>
      </c>
      <c r="BC13" s="27"/>
      <c r="BD13" s="27"/>
    </row>
    <row r="14" spans="2:57" ht="21.75" customHeight="1" x14ac:dyDescent="0.25">
      <c r="B14" s="299">
        <v>0.25</v>
      </c>
      <c r="C14" s="300"/>
      <c r="D14" s="300"/>
      <c r="E14" s="301"/>
      <c r="F14" s="86" t="s">
        <v>117</v>
      </c>
      <c r="G14" s="22"/>
      <c r="H14" s="16"/>
      <c r="I14" s="22"/>
      <c r="J14" s="21"/>
      <c r="Y14" s="15" t="s">
        <v>53</v>
      </c>
      <c r="Z14" s="28">
        <v>3000</v>
      </c>
      <c r="AA14" s="28">
        <v>1500</v>
      </c>
      <c r="AB14" s="28">
        <v>3500</v>
      </c>
      <c r="AK14" s="24" t="s">
        <v>40</v>
      </c>
      <c r="AM14" s="19">
        <f>+AM12*AM13</f>
        <v>0</v>
      </c>
      <c r="AN14" s="19">
        <f>+AN12*AN13</f>
        <v>0</v>
      </c>
      <c r="AO14" s="29">
        <f>+AO12*AO13</f>
        <v>0</v>
      </c>
      <c r="AQ14" s="19">
        <f>+AQ12*AQ13</f>
        <v>0</v>
      </c>
      <c r="AR14" s="19">
        <f>+AR12*AR13</f>
        <v>0</v>
      </c>
      <c r="AS14" s="19">
        <f>+AS12*AS13</f>
        <v>0</v>
      </c>
      <c r="AU14" s="19">
        <f>+AU12*AU13</f>
        <v>0</v>
      </c>
      <c r="AV14" s="19">
        <f>+AV12*AV13</f>
        <v>0</v>
      </c>
      <c r="AW14" s="43">
        <f>+AW12*AW13</f>
        <v>0</v>
      </c>
      <c r="AY14" s="19">
        <f>+AY12*AY13</f>
        <v>0</v>
      </c>
      <c r="AZ14" s="19">
        <f>+AZ12*AZ13</f>
        <v>0</v>
      </c>
      <c r="BA14" s="43">
        <f>+BA12*BA13</f>
        <v>0</v>
      </c>
      <c r="BC14" s="19"/>
      <c r="BD14" s="19"/>
    </row>
    <row r="15" spans="2:57" ht="19.5" customHeight="1" x14ac:dyDescent="0.25">
      <c r="B15" s="302">
        <v>30</v>
      </c>
      <c r="C15" s="303"/>
      <c r="D15" s="303"/>
      <c r="E15" s="304"/>
      <c r="F15" s="85" t="s">
        <v>113</v>
      </c>
      <c r="G15" s="30"/>
      <c r="H15" s="16"/>
      <c r="I15" s="30"/>
      <c r="J15" s="31"/>
      <c r="Y15" s="15" t="s">
        <v>54</v>
      </c>
      <c r="Z15" s="28">
        <v>6000</v>
      </c>
      <c r="AA15" s="28">
        <v>3000</v>
      </c>
      <c r="AB15" s="28">
        <v>7000</v>
      </c>
      <c r="AK15" s="24" t="s">
        <v>41</v>
      </c>
      <c r="AM15" s="19">
        <f>MIN(AM14+AM16+AM11,$Z$9)</f>
        <v>35</v>
      </c>
      <c r="AN15" s="19">
        <f>MIN(AN14+AN16+AN11,$AA$9)</f>
        <v>25</v>
      </c>
      <c r="AO15" s="19">
        <f>MIN(AO14+AO16+AO11,AB9)</f>
        <v>110</v>
      </c>
      <c r="AQ15" s="19">
        <f>MIN(AQ14+AQ16+AQ11,$Z$9)</f>
        <v>0</v>
      </c>
      <c r="AR15" s="19">
        <f>MIN(AR14+AR16+AR11,$AA$9)</f>
        <v>0</v>
      </c>
      <c r="AS15" s="43">
        <f>MIN(AS14+AS16+AS11,AB9)</f>
        <v>0</v>
      </c>
      <c r="AU15" s="19">
        <f>MIN(AU14+AU16+AU11,$Z$9)</f>
        <v>0</v>
      </c>
      <c r="AV15" s="19">
        <f>MIN(AV14+AV16+AV11,$AA$9)</f>
        <v>0</v>
      </c>
      <c r="AW15" s="43">
        <f>MIN(AW14+AW16+AW11,AB9)</f>
        <v>0</v>
      </c>
      <c r="AY15" s="19">
        <f>MIN(AY14+AY16+AY11,$Z$9)</f>
        <v>0</v>
      </c>
      <c r="AZ15" s="19">
        <f>MIN(AZ14+AZ16+AZ11,$AA$9)</f>
        <v>0</v>
      </c>
      <c r="BA15" s="43">
        <f>MIN(BA14+BA16+BA11,AB9)</f>
        <v>0</v>
      </c>
      <c r="BC15" s="19">
        <f>MIN(SUM(AM15,AQ15,AU15,AY15),Z15)</f>
        <v>35</v>
      </c>
      <c r="BD15" s="19">
        <f>MIN(SUM(AN15,AR15,AV15,AZ15),AA15)</f>
        <v>25</v>
      </c>
      <c r="BE15" s="19">
        <f>MIN(SUM(AO15,AS15,AW15,BA15),AB15)</f>
        <v>110</v>
      </c>
    </row>
    <row r="16" spans="2:57" ht="12" customHeight="1" x14ac:dyDescent="0.25">
      <c r="B16" s="31"/>
      <c r="C16" s="31"/>
      <c r="D16" s="31"/>
      <c r="E16" s="31"/>
      <c r="F16" s="31"/>
      <c r="G16" s="32"/>
      <c r="H16" s="16"/>
      <c r="I16" s="32"/>
      <c r="J16" s="33"/>
      <c r="AK16" s="15" t="s">
        <v>36</v>
      </c>
      <c r="AL16" s="18"/>
      <c r="AM16" s="72">
        <f>SUM(AM22:AM34)</f>
        <v>35</v>
      </c>
      <c r="AN16" s="72">
        <f>SUM(AN22:AN34)</f>
        <v>25</v>
      </c>
      <c r="AO16" s="72">
        <f>SUM(AO22:AO34)</f>
        <v>0</v>
      </c>
      <c r="AP16" s="18"/>
      <c r="AQ16" s="72">
        <f>SUM(AQ22:AQ34)</f>
        <v>0</v>
      </c>
      <c r="AR16" s="72">
        <f>SUM(AR22:AR34)</f>
        <v>0</v>
      </c>
      <c r="AS16" s="95">
        <f>SUM(AS22:AS34)</f>
        <v>0</v>
      </c>
      <c r="AT16" s="18"/>
      <c r="AU16" s="72">
        <f>SUM(AU22:AU34)</f>
        <v>0</v>
      </c>
      <c r="AV16" s="72">
        <f>SUM(AV22:AV34)</f>
        <v>0</v>
      </c>
      <c r="AW16" s="95">
        <f>SUM(AW22:AW34)</f>
        <v>0</v>
      </c>
      <c r="AX16" s="18"/>
      <c r="AY16" s="72">
        <f>SUM(AY22:AY34)</f>
        <v>0</v>
      </c>
      <c r="AZ16" s="72">
        <f>SUM(AZ22:AZ34)</f>
        <v>0</v>
      </c>
      <c r="BA16" s="95">
        <f>SUM(BA22:BA34)</f>
        <v>0</v>
      </c>
      <c r="BB16" s="18"/>
      <c r="BC16" s="72">
        <f>+AM16+AQ16+AU16+AY16</f>
        <v>35</v>
      </c>
      <c r="BD16" s="72">
        <f t="shared" ref="BD16" si="0">+AN16+AR16+AV16+AZ16</f>
        <v>25</v>
      </c>
      <c r="BE16" s="72">
        <f>+AO16+AS16+AW16+BA16</f>
        <v>0</v>
      </c>
    </row>
    <row r="17" spans="2:53" ht="12" customHeight="1" thickBot="1" x14ac:dyDescent="0.3">
      <c r="B17" s="30"/>
      <c r="C17" s="30"/>
      <c r="D17" s="30"/>
      <c r="E17" s="30"/>
      <c r="F17" s="31"/>
      <c r="G17" s="31"/>
      <c r="H17" s="32"/>
      <c r="I17" s="32"/>
      <c r="J17" s="33"/>
      <c r="O17" s="9"/>
      <c r="P17" s="261" t="s">
        <v>65</v>
      </c>
      <c r="Q17" s="261"/>
      <c r="R17" s="261"/>
      <c r="S17" s="261"/>
      <c r="T17" s="263" t="s">
        <v>65</v>
      </c>
      <c r="U17" s="264"/>
      <c r="V17" s="264"/>
      <c r="W17" s="264"/>
      <c r="X17" s="9"/>
      <c r="Z17" s="9" t="s">
        <v>67</v>
      </c>
      <c r="AA17" s="9" t="s">
        <v>68</v>
      </c>
      <c r="AB17" s="9" t="s">
        <v>17</v>
      </c>
      <c r="AE17" s="9" t="s">
        <v>67</v>
      </c>
      <c r="AF17" s="9" t="s">
        <v>68</v>
      </c>
      <c r="AG17" s="9" t="s">
        <v>17</v>
      </c>
      <c r="AI17" s="9" t="s">
        <v>67</v>
      </c>
      <c r="AJ17" s="9" t="s">
        <v>68</v>
      </c>
      <c r="AK17" s="9" t="s">
        <v>17</v>
      </c>
      <c r="AM17" s="9" t="s">
        <v>67</v>
      </c>
      <c r="AN17" s="9" t="s">
        <v>68</v>
      </c>
      <c r="AO17" s="9" t="s">
        <v>17</v>
      </c>
      <c r="AQ17" s="9" t="s">
        <v>67</v>
      </c>
      <c r="AR17" s="9" t="s">
        <v>68</v>
      </c>
      <c r="AS17" s="205" t="s">
        <v>17</v>
      </c>
      <c r="AU17" s="9" t="s">
        <v>67</v>
      </c>
      <c r="AV17" s="9" t="s">
        <v>68</v>
      </c>
      <c r="AW17" s="205" t="s">
        <v>17</v>
      </c>
      <c r="AY17" s="9" t="s">
        <v>67</v>
      </c>
      <c r="AZ17" s="9" t="s">
        <v>68</v>
      </c>
      <c r="BA17" s="205" t="s">
        <v>17</v>
      </c>
    </row>
    <row r="18" spans="2:53" ht="21" customHeight="1" thickBot="1" x14ac:dyDescent="0.3">
      <c r="B18" s="168"/>
      <c r="C18" s="169"/>
      <c r="D18" s="169"/>
      <c r="E18" s="169"/>
      <c r="F18" s="170"/>
      <c r="G18" s="171"/>
      <c r="H18" s="268" t="s">
        <v>26</v>
      </c>
      <c r="I18" s="269"/>
      <c r="J18" s="270"/>
      <c r="K18" s="34"/>
      <c r="O18" s="35" t="s">
        <v>61</v>
      </c>
      <c r="P18" s="35">
        <v>1</v>
      </c>
      <c r="Q18" s="35">
        <v>2</v>
      </c>
      <c r="R18" s="35">
        <v>3</v>
      </c>
      <c r="S18" s="35">
        <v>4</v>
      </c>
      <c r="T18" s="36">
        <v>1</v>
      </c>
      <c r="U18" s="35">
        <v>2</v>
      </c>
      <c r="V18" s="35">
        <v>3</v>
      </c>
      <c r="W18" s="35">
        <v>4</v>
      </c>
      <c r="X18" s="73"/>
      <c r="Z18" s="35" t="s">
        <v>30</v>
      </c>
      <c r="AA18" s="35" t="s">
        <v>30</v>
      </c>
      <c r="AB18" s="35" t="s">
        <v>30</v>
      </c>
      <c r="AC18" s="9"/>
      <c r="AD18" s="35" t="s">
        <v>42</v>
      </c>
      <c r="AE18" s="36" t="s">
        <v>35</v>
      </c>
      <c r="AF18" s="35" t="s">
        <v>35</v>
      </c>
      <c r="AG18" s="35" t="s">
        <v>35</v>
      </c>
      <c r="AI18" s="35" t="s">
        <v>33</v>
      </c>
      <c r="AJ18" s="35" t="s">
        <v>33</v>
      </c>
      <c r="AK18" s="35" t="s">
        <v>33</v>
      </c>
      <c r="AL18" s="6"/>
      <c r="AM18" s="35" t="s">
        <v>36</v>
      </c>
      <c r="AN18" s="35" t="s">
        <v>36</v>
      </c>
      <c r="AO18" s="35" t="s">
        <v>36</v>
      </c>
      <c r="AQ18" s="35" t="s">
        <v>36</v>
      </c>
      <c r="AR18" s="35" t="s">
        <v>36</v>
      </c>
      <c r="AS18" s="207" t="s">
        <v>36</v>
      </c>
      <c r="AU18" s="35" t="s">
        <v>36</v>
      </c>
      <c r="AV18" s="35" t="s">
        <v>36</v>
      </c>
      <c r="AW18" s="207" t="s">
        <v>36</v>
      </c>
      <c r="AY18" s="35" t="s">
        <v>36</v>
      </c>
      <c r="AZ18" s="35" t="s">
        <v>36</v>
      </c>
      <c r="BA18" s="207" t="s">
        <v>36</v>
      </c>
    </row>
    <row r="19" spans="2:53" ht="16.5" thickBot="1" x14ac:dyDescent="0.3">
      <c r="B19" s="271" t="s">
        <v>58</v>
      </c>
      <c r="C19" s="272"/>
      <c r="D19" s="272"/>
      <c r="E19" s="273"/>
      <c r="F19" s="274" t="s">
        <v>19</v>
      </c>
      <c r="G19" s="172" t="s">
        <v>25</v>
      </c>
      <c r="H19" s="277" t="s">
        <v>67</v>
      </c>
      <c r="I19" s="278" t="s">
        <v>68</v>
      </c>
      <c r="J19" s="279" t="s">
        <v>17</v>
      </c>
      <c r="K19" s="34"/>
      <c r="P19" s="265" t="s">
        <v>57</v>
      </c>
      <c r="Q19" s="265"/>
      <c r="R19" s="265"/>
      <c r="S19" s="266"/>
      <c r="T19" s="267" t="s">
        <v>66</v>
      </c>
      <c r="U19" s="265"/>
      <c r="V19" s="265"/>
      <c r="W19" s="265"/>
      <c r="Y19" s="15"/>
      <c r="AC19" s="37"/>
      <c r="AE19" s="38"/>
    </row>
    <row r="20" spans="2:53" ht="16.5" thickBot="1" x14ac:dyDescent="0.3">
      <c r="B20" s="173">
        <v>1</v>
      </c>
      <c r="C20" s="174">
        <v>2</v>
      </c>
      <c r="D20" s="174">
        <v>3</v>
      </c>
      <c r="E20" s="175">
        <v>4</v>
      </c>
      <c r="F20" s="275"/>
      <c r="G20" s="175"/>
      <c r="H20" s="277"/>
      <c r="I20" s="278"/>
      <c r="J20" s="279"/>
      <c r="K20" s="34"/>
      <c r="T20" s="64"/>
      <c r="Y20" s="15"/>
      <c r="AC20" s="37"/>
      <c r="AE20" s="64"/>
      <c r="AJ20" s="262"/>
      <c r="AK20" s="262"/>
    </row>
    <row r="21" spans="2:53" ht="16.5" thickBot="1" x14ac:dyDescent="0.3">
      <c r="B21" s="305" t="s">
        <v>57</v>
      </c>
      <c r="C21" s="306"/>
      <c r="D21" s="306"/>
      <c r="E21" s="307"/>
      <c r="F21" s="276"/>
      <c r="G21" s="175"/>
      <c r="H21" s="277"/>
      <c r="I21" s="278"/>
      <c r="J21" s="279"/>
      <c r="K21" s="34"/>
      <c r="T21" s="64"/>
      <c r="Y21" s="15"/>
      <c r="Z21" s="81"/>
      <c r="AA21" s="81"/>
      <c r="AB21" s="81"/>
      <c r="AC21" s="42"/>
      <c r="AD21" s="81"/>
      <c r="AE21" s="82"/>
      <c r="AF21" s="81"/>
      <c r="AG21" s="81"/>
      <c r="AH21" s="83"/>
      <c r="AI21" s="81"/>
      <c r="AJ21" s="81"/>
      <c r="AK21" s="81"/>
    </row>
    <row r="22" spans="2:53" ht="15.75" x14ac:dyDescent="0.25">
      <c r="B22" s="70">
        <v>0</v>
      </c>
      <c r="C22" s="71">
        <v>0</v>
      </c>
      <c r="D22" s="71">
        <v>0</v>
      </c>
      <c r="E22" s="71">
        <v>0</v>
      </c>
      <c r="F22" s="115" t="s">
        <v>1</v>
      </c>
      <c r="G22" s="116">
        <f>+B22*'Cost Calculator'!AD22</f>
        <v>0</v>
      </c>
      <c r="H22" s="117">
        <f t="shared" ref="H22:H34" si="1">IF(Z22="Y","Deductible &amp; Coinsurance",SUM(AM22,AQ22,AU22,AY22))</f>
        <v>0</v>
      </c>
      <c r="I22" s="117">
        <f t="shared" ref="I22:I34" si="2">IF(AA22="Y","Deductible &amp; Coinsurance",SUM(AN22,AR22,AV22,AZ22))</f>
        <v>0</v>
      </c>
      <c r="J22" s="118" t="str">
        <f>IF(AB22="Y","Deductible &amp; Coinsurance",AO22)</f>
        <v>Deductible &amp; Coinsurance</v>
      </c>
      <c r="K22" s="34"/>
      <c r="O22" s="77">
        <f>SUM(P22:S22)</f>
        <v>0</v>
      </c>
      <c r="P22" s="74">
        <f>+B22</f>
        <v>0</v>
      </c>
      <c r="Q22" s="74">
        <f t="shared" ref="Q22:Q34" si="3">IF(Tier="Employee",0,C22)</f>
        <v>0</v>
      </c>
      <c r="R22" s="74">
        <f t="shared" ref="R22:R34" si="4">IF(OR(Tier="Employee",Tier="EE &amp; Spouse"),0,D22)</f>
        <v>0</v>
      </c>
      <c r="S22" s="74">
        <f t="shared" ref="S22:S34" si="5">IF(OR(Tier="Employee",Tier="EE &amp; Spouse"),0,E22)</f>
        <v>0</v>
      </c>
      <c r="T22" s="76">
        <f>+P22*$AD22</f>
        <v>0</v>
      </c>
      <c r="U22" s="75">
        <f t="shared" ref="U22:U34" si="6">+Q22*$AD22</f>
        <v>0</v>
      </c>
      <c r="V22" s="75">
        <f t="shared" ref="V22:V34" si="7">+R22*$AD22</f>
        <v>0</v>
      </c>
      <c r="W22" s="75">
        <f t="shared" ref="W22:W34" si="8">+S22*$AD22</f>
        <v>0</v>
      </c>
      <c r="X22" s="72"/>
      <c r="Y22" s="17"/>
      <c r="Z22" s="39" t="s">
        <v>32</v>
      </c>
      <c r="AA22" s="39" t="s">
        <v>32</v>
      </c>
      <c r="AB22" s="39" t="s">
        <v>31</v>
      </c>
      <c r="AC22" s="37"/>
      <c r="AD22" s="140">
        <f>'Allowed Cost'!N13</f>
        <v>150</v>
      </c>
      <c r="AE22" s="40">
        <v>25</v>
      </c>
      <c r="AF22" s="28">
        <v>20</v>
      </c>
      <c r="AG22" s="39" t="s">
        <v>34</v>
      </c>
      <c r="AI22" s="39" t="s">
        <v>34</v>
      </c>
      <c r="AJ22" s="39" t="s">
        <v>34</v>
      </c>
      <c r="AK22" s="41">
        <v>0.2</v>
      </c>
      <c r="AM22" s="28">
        <f>IF($Z22="N",$AE22*$P22,0)</f>
        <v>0</v>
      </c>
      <c r="AN22" s="28">
        <f>IF($AA22="N",$AF22*$P22,0)</f>
        <v>0</v>
      </c>
      <c r="AO22" s="28">
        <f>IF(AB22="N",AG22*$O22,0)</f>
        <v>0</v>
      </c>
      <c r="AQ22" s="28">
        <f>IF($Z22="N",$AE22*$Q22,0)</f>
        <v>0</v>
      </c>
      <c r="AR22" s="28">
        <f>IF($AA22="N",$AF22*$Q22,0)</f>
        <v>0</v>
      </c>
      <c r="AS22" s="28">
        <f>IF($AB22="N",$AG22*$Q22,0)</f>
        <v>0</v>
      </c>
      <c r="AU22" s="28">
        <f>IF($Z22="N",$AE22*$R22,0)</f>
        <v>0</v>
      </c>
      <c r="AV22" s="28">
        <f>IF($AA22="N",$AF22*$R22,0)</f>
        <v>0</v>
      </c>
      <c r="AW22" s="28">
        <f>IF($AB22="N",$AG22*R22,0)</f>
        <v>0</v>
      </c>
      <c r="AY22" s="28">
        <f>IF($Z22="N",$AE22*$S22,0)</f>
        <v>0</v>
      </c>
      <c r="AZ22" s="28">
        <f>IF($AA22="N",$AF22*$S22,0)</f>
        <v>0</v>
      </c>
      <c r="BA22" s="28">
        <f>IF($AB22="N",$AG22*W22,0)</f>
        <v>0</v>
      </c>
    </row>
    <row r="23" spans="2:53" x14ac:dyDescent="0.25">
      <c r="B23" s="2">
        <v>1</v>
      </c>
      <c r="C23" s="65">
        <v>0</v>
      </c>
      <c r="D23" s="65">
        <v>0</v>
      </c>
      <c r="E23" s="65">
        <v>0</v>
      </c>
      <c r="F23" s="119" t="s">
        <v>2</v>
      </c>
      <c r="G23" s="116">
        <f>+B23*'Cost Calculator'!AD23</f>
        <v>110</v>
      </c>
      <c r="H23" s="120">
        <f t="shared" si="1"/>
        <v>35</v>
      </c>
      <c r="I23" s="120">
        <f t="shared" si="2"/>
        <v>25</v>
      </c>
      <c r="J23" s="121" t="str">
        <f t="shared" ref="J23:J34" si="9">IF(AB23="Y","Deductible &amp; Coinsurance",AO23)</f>
        <v>Deductible &amp; Coinsurance</v>
      </c>
      <c r="O23" s="77">
        <f t="shared" ref="O23:O34" si="10">SUM(P23:S23)</f>
        <v>1</v>
      </c>
      <c r="P23" s="74">
        <f t="shared" ref="P23:P34" si="11">+B23</f>
        <v>1</v>
      </c>
      <c r="Q23" s="74">
        <f t="shared" si="3"/>
        <v>0</v>
      </c>
      <c r="R23" s="74">
        <f t="shared" si="4"/>
        <v>0</v>
      </c>
      <c r="S23" s="74">
        <f t="shared" si="5"/>
        <v>0</v>
      </c>
      <c r="T23" s="76">
        <f t="shared" ref="T23:T34" si="12">+P23*$AD23</f>
        <v>110</v>
      </c>
      <c r="U23" s="75">
        <f t="shared" si="6"/>
        <v>0</v>
      </c>
      <c r="V23" s="75">
        <f t="shared" si="7"/>
        <v>0</v>
      </c>
      <c r="W23" s="75">
        <f t="shared" si="8"/>
        <v>0</v>
      </c>
      <c r="X23" s="72"/>
      <c r="Y23" s="17"/>
      <c r="Z23" s="39" t="s">
        <v>32</v>
      </c>
      <c r="AA23" s="39" t="s">
        <v>32</v>
      </c>
      <c r="AB23" s="39" t="s">
        <v>31</v>
      </c>
      <c r="AC23" s="37"/>
      <c r="AD23" s="140">
        <f>'Allowed Cost'!N14</f>
        <v>110</v>
      </c>
      <c r="AE23" s="40">
        <v>35</v>
      </c>
      <c r="AF23" s="28">
        <v>25</v>
      </c>
      <c r="AG23" s="39" t="s">
        <v>34</v>
      </c>
      <c r="AH23" s="6"/>
      <c r="AI23" s="39" t="s">
        <v>34</v>
      </c>
      <c r="AJ23" s="39" t="s">
        <v>34</v>
      </c>
      <c r="AK23" s="41">
        <v>0.2</v>
      </c>
      <c r="AM23" s="28">
        <f t="shared" ref="AM23:AM29" si="13">IF($Z23="N",$AE23*$P23,0)</f>
        <v>35</v>
      </c>
      <c r="AN23" s="28">
        <f t="shared" ref="AN23:AN31" si="14">IF($AA23="N",$AF23*$P23,0)</f>
        <v>25</v>
      </c>
      <c r="AO23" s="28">
        <f t="shared" ref="AO23:AO34" si="15">IF(AB23="N",AG23*$O23,0)</f>
        <v>0</v>
      </c>
      <c r="AQ23" s="28">
        <f t="shared" ref="AQ23:AQ34" si="16">IF($Z23="N",$AE23*$Q23,0)</f>
        <v>0</v>
      </c>
      <c r="AR23" s="28">
        <f t="shared" ref="AR23:AR31" si="17">IF($AA23="N",$AF23*$Q23,0)</f>
        <v>0</v>
      </c>
      <c r="AS23" s="28">
        <f>IF($AB23="N",$AG23*$Q23,0)</f>
        <v>0</v>
      </c>
      <c r="AU23" s="28">
        <f t="shared" ref="AU23:AU34" si="18">IF($Z23="N",$AE23*$R23,0)</f>
        <v>0</v>
      </c>
      <c r="AV23" s="28">
        <f t="shared" ref="AV23:AV31" si="19">IF($AA23="N",$AF23*$R23,0)</f>
        <v>0</v>
      </c>
      <c r="AW23" s="28">
        <f t="shared" ref="AW23:AW33" si="20">IF($AB23="N",$AG23*R23,0)</f>
        <v>0</v>
      </c>
      <c r="AY23" s="28">
        <f t="shared" ref="AY23:AY29" si="21">IF($Z23="N",$AE23*$S23,0)</f>
        <v>0</v>
      </c>
      <c r="AZ23" s="28">
        <f t="shared" ref="AZ23:AZ31" si="22">IF($AA23="N",$AF23*$S23,0)</f>
        <v>0</v>
      </c>
      <c r="BA23" s="28">
        <f t="shared" ref="BA23:BA34" si="23">IF($AB23="N",$AG23*W23,0)</f>
        <v>0</v>
      </c>
    </row>
    <row r="24" spans="2:53" x14ac:dyDescent="0.25">
      <c r="B24" s="2">
        <v>0</v>
      </c>
      <c r="C24" s="65">
        <v>0</v>
      </c>
      <c r="D24" s="65">
        <v>0</v>
      </c>
      <c r="E24" s="65">
        <v>0</v>
      </c>
      <c r="F24" s="119" t="s">
        <v>3</v>
      </c>
      <c r="G24" s="116">
        <f>+B24*'Cost Calculator'!AD24</f>
        <v>0</v>
      </c>
      <c r="H24" s="120">
        <f t="shared" si="1"/>
        <v>0</v>
      </c>
      <c r="I24" s="120">
        <f t="shared" si="2"/>
        <v>0</v>
      </c>
      <c r="J24" s="121" t="str">
        <f t="shared" si="9"/>
        <v>Deductible &amp; Coinsurance</v>
      </c>
      <c r="O24" s="77">
        <f t="shared" si="10"/>
        <v>0</v>
      </c>
      <c r="P24" s="74">
        <f t="shared" si="11"/>
        <v>0</v>
      </c>
      <c r="Q24" s="74">
        <f t="shared" si="3"/>
        <v>0</v>
      </c>
      <c r="R24" s="74">
        <f t="shared" si="4"/>
        <v>0</v>
      </c>
      <c r="S24" s="74">
        <f t="shared" si="5"/>
        <v>0</v>
      </c>
      <c r="T24" s="76">
        <f t="shared" si="12"/>
        <v>0</v>
      </c>
      <c r="U24" s="75">
        <f t="shared" si="6"/>
        <v>0</v>
      </c>
      <c r="V24" s="75">
        <f t="shared" si="7"/>
        <v>0</v>
      </c>
      <c r="W24" s="75">
        <f t="shared" si="8"/>
        <v>0</v>
      </c>
      <c r="X24" s="72"/>
      <c r="Y24" s="17"/>
      <c r="Z24" s="39" t="s">
        <v>32</v>
      </c>
      <c r="AA24" s="39" t="s">
        <v>32</v>
      </c>
      <c r="AB24" s="39" t="s">
        <v>31</v>
      </c>
      <c r="AC24" s="37"/>
      <c r="AD24" s="140">
        <f>'Allowed Cost'!N15</f>
        <v>70</v>
      </c>
      <c r="AE24" s="40">
        <v>35</v>
      </c>
      <c r="AF24" s="28">
        <v>25</v>
      </c>
      <c r="AG24" s="39" t="s">
        <v>34</v>
      </c>
      <c r="AH24" s="37"/>
      <c r="AI24" s="39" t="s">
        <v>34</v>
      </c>
      <c r="AJ24" s="39" t="s">
        <v>34</v>
      </c>
      <c r="AK24" s="41">
        <v>0.2</v>
      </c>
      <c r="AM24" s="28">
        <f t="shared" si="13"/>
        <v>0</v>
      </c>
      <c r="AN24" s="28">
        <f t="shared" si="14"/>
        <v>0</v>
      </c>
      <c r="AO24" s="28">
        <f t="shared" si="15"/>
        <v>0</v>
      </c>
      <c r="AQ24" s="28">
        <f t="shared" si="16"/>
        <v>0</v>
      </c>
      <c r="AR24" s="28">
        <f t="shared" si="17"/>
        <v>0</v>
      </c>
      <c r="AS24" s="28">
        <f>IF(AB24="N",AG24*Q24,0)</f>
        <v>0</v>
      </c>
      <c r="AU24" s="28">
        <f t="shared" si="18"/>
        <v>0</v>
      </c>
      <c r="AV24" s="28">
        <f t="shared" si="19"/>
        <v>0</v>
      </c>
      <c r="AW24" s="28">
        <f t="shared" si="20"/>
        <v>0</v>
      </c>
      <c r="AY24" s="28">
        <f t="shared" si="21"/>
        <v>0</v>
      </c>
      <c r="AZ24" s="28">
        <f t="shared" si="22"/>
        <v>0</v>
      </c>
      <c r="BA24" s="28">
        <f t="shared" si="23"/>
        <v>0</v>
      </c>
    </row>
    <row r="25" spans="2:53" x14ac:dyDescent="0.25">
      <c r="B25" s="2">
        <v>0</v>
      </c>
      <c r="C25" s="65">
        <v>0</v>
      </c>
      <c r="D25" s="65">
        <v>0</v>
      </c>
      <c r="E25" s="65">
        <v>0</v>
      </c>
      <c r="F25" s="119" t="s">
        <v>4</v>
      </c>
      <c r="G25" s="116">
        <f>+B25*'Cost Calculator'!AD25</f>
        <v>0</v>
      </c>
      <c r="H25" s="120">
        <f t="shared" si="1"/>
        <v>0</v>
      </c>
      <c r="I25" s="120">
        <f t="shared" si="2"/>
        <v>0</v>
      </c>
      <c r="J25" s="121" t="str">
        <f t="shared" si="9"/>
        <v>Deductible &amp; Coinsurance</v>
      </c>
      <c r="O25" s="77">
        <f t="shared" si="10"/>
        <v>0</v>
      </c>
      <c r="P25" s="74">
        <f t="shared" si="11"/>
        <v>0</v>
      </c>
      <c r="Q25" s="74">
        <f t="shared" si="3"/>
        <v>0</v>
      </c>
      <c r="R25" s="74">
        <f t="shared" si="4"/>
        <v>0</v>
      </c>
      <c r="S25" s="74">
        <f t="shared" si="5"/>
        <v>0</v>
      </c>
      <c r="T25" s="76">
        <f t="shared" si="12"/>
        <v>0</v>
      </c>
      <c r="U25" s="75">
        <f t="shared" si="6"/>
        <v>0</v>
      </c>
      <c r="V25" s="75">
        <f t="shared" si="7"/>
        <v>0</v>
      </c>
      <c r="W25" s="75">
        <f t="shared" si="8"/>
        <v>0</v>
      </c>
      <c r="X25" s="72"/>
      <c r="Y25" s="17"/>
      <c r="Z25" s="39" t="s">
        <v>32</v>
      </c>
      <c r="AA25" s="39" t="s">
        <v>32</v>
      </c>
      <c r="AB25" s="39" t="s">
        <v>31</v>
      </c>
      <c r="AC25" s="37"/>
      <c r="AD25" s="140">
        <f>'Allowed Cost'!N16</f>
        <v>100</v>
      </c>
      <c r="AE25" s="40">
        <v>35</v>
      </c>
      <c r="AF25" s="28">
        <v>25</v>
      </c>
      <c r="AG25" s="39" t="s">
        <v>34</v>
      </c>
      <c r="AH25" s="37"/>
      <c r="AI25" s="41" t="s">
        <v>34</v>
      </c>
      <c r="AJ25" s="41" t="s">
        <v>34</v>
      </c>
      <c r="AK25" s="41">
        <v>0.2</v>
      </c>
      <c r="AM25" s="28">
        <f t="shared" si="13"/>
        <v>0</v>
      </c>
      <c r="AN25" s="28">
        <f t="shared" si="14"/>
        <v>0</v>
      </c>
      <c r="AO25" s="28">
        <f t="shared" si="15"/>
        <v>0</v>
      </c>
      <c r="AQ25" s="28">
        <f t="shared" si="16"/>
        <v>0</v>
      </c>
      <c r="AR25" s="28">
        <f t="shared" si="17"/>
        <v>0</v>
      </c>
      <c r="AS25" s="28">
        <f t="shared" ref="AS25:AS34" si="24">IF(AB25="N",AG25*Q25,0)</f>
        <v>0</v>
      </c>
      <c r="AU25" s="28">
        <f t="shared" si="18"/>
        <v>0</v>
      </c>
      <c r="AV25" s="28">
        <f t="shared" si="19"/>
        <v>0</v>
      </c>
      <c r="AW25" s="28">
        <f t="shared" si="20"/>
        <v>0</v>
      </c>
      <c r="AY25" s="28">
        <f t="shared" si="21"/>
        <v>0</v>
      </c>
      <c r="AZ25" s="28">
        <f t="shared" si="22"/>
        <v>0</v>
      </c>
      <c r="BA25" s="28">
        <f t="shared" si="23"/>
        <v>0</v>
      </c>
    </row>
    <row r="26" spans="2:53" x14ac:dyDescent="0.25">
      <c r="B26" s="2">
        <v>0</v>
      </c>
      <c r="C26" s="65">
        <v>0</v>
      </c>
      <c r="D26" s="65">
        <v>0</v>
      </c>
      <c r="E26" s="65">
        <v>0</v>
      </c>
      <c r="F26" s="119" t="s">
        <v>5</v>
      </c>
      <c r="G26" s="116">
        <f>+B26*'Cost Calculator'!AD26</f>
        <v>0</v>
      </c>
      <c r="H26" s="120">
        <f t="shared" si="1"/>
        <v>0</v>
      </c>
      <c r="I26" s="120">
        <f t="shared" si="2"/>
        <v>0</v>
      </c>
      <c r="J26" s="121" t="str">
        <f t="shared" si="9"/>
        <v>Deductible &amp; Coinsurance</v>
      </c>
      <c r="O26" s="77">
        <f t="shared" si="10"/>
        <v>0</v>
      </c>
      <c r="P26" s="74">
        <f t="shared" si="11"/>
        <v>0</v>
      </c>
      <c r="Q26" s="74">
        <f t="shared" si="3"/>
        <v>0</v>
      </c>
      <c r="R26" s="74">
        <f t="shared" si="4"/>
        <v>0</v>
      </c>
      <c r="S26" s="74">
        <f t="shared" si="5"/>
        <v>0</v>
      </c>
      <c r="T26" s="76">
        <f t="shared" si="12"/>
        <v>0</v>
      </c>
      <c r="U26" s="75">
        <f t="shared" si="6"/>
        <v>0</v>
      </c>
      <c r="V26" s="75">
        <f t="shared" si="7"/>
        <v>0</v>
      </c>
      <c r="W26" s="75">
        <f t="shared" si="8"/>
        <v>0</v>
      </c>
      <c r="X26" s="72"/>
      <c r="Y26" s="17"/>
      <c r="Z26" s="39" t="s">
        <v>32</v>
      </c>
      <c r="AA26" s="39" t="s">
        <v>32</v>
      </c>
      <c r="AB26" s="39" t="s">
        <v>31</v>
      </c>
      <c r="AC26" s="37"/>
      <c r="AD26" s="140">
        <f>'Allowed Cost'!N17</f>
        <v>900</v>
      </c>
      <c r="AE26" s="40">
        <v>50</v>
      </c>
      <c r="AF26" s="28">
        <v>50</v>
      </c>
      <c r="AG26" s="39" t="s">
        <v>34</v>
      </c>
      <c r="AH26" s="37"/>
      <c r="AI26" s="41" t="s">
        <v>34</v>
      </c>
      <c r="AJ26" s="41" t="s">
        <v>34</v>
      </c>
      <c r="AK26" s="41">
        <v>0.2</v>
      </c>
      <c r="AM26" s="28">
        <f t="shared" si="13"/>
        <v>0</v>
      </c>
      <c r="AN26" s="28">
        <f t="shared" si="14"/>
        <v>0</v>
      </c>
      <c r="AO26" s="28">
        <f t="shared" si="15"/>
        <v>0</v>
      </c>
      <c r="AQ26" s="28">
        <f t="shared" si="16"/>
        <v>0</v>
      </c>
      <c r="AR26" s="28">
        <f t="shared" si="17"/>
        <v>0</v>
      </c>
      <c r="AS26" s="28">
        <f t="shared" si="24"/>
        <v>0</v>
      </c>
      <c r="AU26" s="28">
        <f t="shared" si="18"/>
        <v>0</v>
      </c>
      <c r="AV26" s="28">
        <f t="shared" si="19"/>
        <v>0</v>
      </c>
      <c r="AW26" s="28">
        <f t="shared" si="20"/>
        <v>0</v>
      </c>
      <c r="AY26" s="28">
        <f t="shared" si="21"/>
        <v>0</v>
      </c>
      <c r="AZ26" s="28">
        <f t="shared" si="22"/>
        <v>0</v>
      </c>
      <c r="BA26" s="28">
        <f t="shared" si="23"/>
        <v>0</v>
      </c>
    </row>
    <row r="27" spans="2:53" x14ac:dyDescent="0.25">
      <c r="B27" s="2">
        <v>0</v>
      </c>
      <c r="C27" s="65">
        <v>0</v>
      </c>
      <c r="D27" s="65">
        <v>0</v>
      </c>
      <c r="E27" s="65">
        <v>0</v>
      </c>
      <c r="F27" s="119" t="s">
        <v>6</v>
      </c>
      <c r="G27" s="116">
        <f>+B27*'Cost Calculator'!AD27</f>
        <v>0</v>
      </c>
      <c r="H27" s="120">
        <f t="shared" si="1"/>
        <v>0</v>
      </c>
      <c r="I27" s="120">
        <f t="shared" si="2"/>
        <v>0</v>
      </c>
      <c r="J27" s="121" t="str">
        <f t="shared" si="9"/>
        <v>Deductible &amp; Coinsurance</v>
      </c>
      <c r="O27" s="77">
        <f t="shared" si="10"/>
        <v>0</v>
      </c>
      <c r="P27" s="74">
        <f t="shared" si="11"/>
        <v>0</v>
      </c>
      <c r="Q27" s="74">
        <f t="shared" si="3"/>
        <v>0</v>
      </c>
      <c r="R27" s="74">
        <f t="shared" si="4"/>
        <v>0</v>
      </c>
      <c r="S27" s="74">
        <f t="shared" si="5"/>
        <v>0</v>
      </c>
      <c r="T27" s="76">
        <f t="shared" si="12"/>
        <v>0</v>
      </c>
      <c r="U27" s="75">
        <f t="shared" si="6"/>
        <v>0</v>
      </c>
      <c r="V27" s="75">
        <f t="shared" si="7"/>
        <v>0</v>
      </c>
      <c r="W27" s="75">
        <f t="shared" si="8"/>
        <v>0</v>
      </c>
      <c r="X27" s="72"/>
      <c r="Y27" s="17"/>
      <c r="Z27" s="39" t="s">
        <v>32</v>
      </c>
      <c r="AA27" s="39" t="s">
        <v>32</v>
      </c>
      <c r="AB27" s="39" t="s">
        <v>31</v>
      </c>
      <c r="AC27" s="37"/>
      <c r="AD27" s="140">
        <f>'Allowed Cost'!N18</f>
        <v>1000</v>
      </c>
      <c r="AE27" s="40">
        <v>50</v>
      </c>
      <c r="AF27" s="28">
        <v>50</v>
      </c>
      <c r="AG27" s="39" t="s">
        <v>34</v>
      </c>
      <c r="AH27" s="37"/>
      <c r="AI27" s="41" t="s">
        <v>34</v>
      </c>
      <c r="AJ27" s="41" t="s">
        <v>34</v>
      </c>
      <c r="AK27" s="41">
        <v>0.2</v>
      </c>
      <c r="AM27" s="28">
        <f t="shared" si="13"/>
        <v>0</v>
      </c>
      <c r="AN27" s="28">
        <f t="shared" si="14"/>
        <v>0</v>
      </c>
      <c r="AO27" s="28">
        <f t="shared" si="15"/>
        <v>0</v>
      </c>
      <c r="AQ27" s="28">
        <f t="shared" si="16"/>
        <v>0</v>
      </c>
      <c r="AR27" s="28">
        <f t="shared" si="17"/>
        <v>0</v>
      </c>
      <c r="AS27" s="28">
        <f t="shared" si="24"/>
        <v>0</v>
      </c>
      <c r="AU27" s="28">
        <f t="shared" si="18"/>
        <v>0</v>
      </c>
      <c r="AV27" s="28">
        <f t="shared" si="19"/>
        <v>0</v>
      </c>
      <c r="AW27" s="28">
        <f>IF($AB27="N",$AG27*R27,0)</f>
        <v>0</v>
      </c>
      <c r="AY27" s="28">
        <f t="shared" si="21"/>
        <v>0</v>
      </c>
      <c r="AZ27" s="28">
        <f t="shared" si="22"/>
        <v>0</v>
      </c>
      <c r="BA27" s="28">
        <f t="shared" si="23"/>
        <v>0</v>
      </c>
    </row>
    <row r="28" spans="2:53" x14ac:dyDescent="0.25">
      <c r="B28" s="2">
        <v>0</v>
      </c>
      <c r="C28" s="65">
        <v>0</v>
      </c>
      <c r="D28" s="65">
        <v>0</v>
      </c>
      <c r="E28" s="65">
        <v>0</v>
      </c>
      <c r="F28" s="119" t="s">
        <v>7</v>
      </c>
      <c r="G28" s="116">
        <f>+B28*'Cost Calculator'!AD28</f>
        <v>0</v>
      </c>
      <c r="H28" s="120">
        <f t="shared" si="1"/>
        <v>0</v>
      </c>
      <c r="I28" s="120">
        <f t="shared" si="2"/>
        <v>0</v>
      </c>
      <c r="J28" s="121" t="str">
        <f t="shared" si="9"/>
        <v>Deductible &amp; Coinsurance</v>
      </c>
      <c r="O28" s="77">
        <f t="shared" si="10"/>
        <v>0</v>
      </c>
      <c r="P28" s="74">
        <f t="shared" si="11"/>
        <v>0</v>
      </c>
      <c r="Q28" s="74">
        <f t="shared" si="3"/>
        <v>0</v>
      </c>
      <c r="R28" s="74">
        <f t="shared" si="4"/>
        <v>0</v>
      </c>
      <c r="S28" s="74">
        <f t="shared" si="5"/>
        <v>0</v>
      </c>
      <c r="T28" s="76">
        <f t="shared" si="12"/>
        <v>0</v>
      </c>
      <c r="U28" s="75">
        <f t="shared" si="6"/>
        <v>0</v>
      </c>
      <c r="V28" s="75">
        <f t="shared" si="7"/>
        <v>0</v>
      </c>
      <c r="W28" s="75">
        <f t="shared" si="8"/>
        <v>0</v>
      </c>
      <c r="X28" s="72"/>
      <c r="Y28" s="17"/>
      <c r="Z28" s="39" t="s">
        <v>32</v>
      </c>
      <c r="AA28" s="39" t="s">
        <v>32</v>
      </c>
      <c r="AB28" s="39" t="s">
        <v>31</v>
      </c>
      <c r="AC28" s="37"/>
      <c r="AD28" s="141">
        <f>'Allowed Cost'!N19</f>
        <v>150</v>
      </c>
      <c r="AE28" s="61">
        <v>0</v>
      </c>
      <c r="AF28" s="26">
        <v>0</v>
      </c>
      <c r="AG28" s="62" t="s">
        <v>34</v>
      </c>
      <c r="AH28" s="37"/>
      <c r="AI28" s="41" t="s">
        <v>34</v>
      </c>
      <c r="AJ28" s="41" t="s">
        <v>34</v>
      </c>
      <c r="AK28" s="41">
        <v>0.2</v>
      </c>
      <c r="AM28" s="28">
        <f>IF($Z28="N",$AE28*$P28,0)</f>
        <v>0</v>
      </c>
      <c r="AN28" s="28">
        <f t="shared" si="14"/>
        <v>0</v>
      </c>
      <c r="AO28" s="28">
        <f t="shared" si="15"/>
        <v>0</v>
      </c>
      <c r="AQ28" s="28">
        <f t="shared" si="16"/>
        <v>0</v>
      </c>
      <c r="AR28" s="28">
        <f>IF($AA28="N",$AF28*$Q28,0)</f>
        <v>0</v>
      </c>
      <c r="AS28" s="28">
        <f t="shared" si="24"/>
        <v>0</v>
      </c>
      <c r="AU28" s="28">
        <f t="shared" si="18"/>
        <v>0</v>
      </c>
      <c r="AV28" s="28">
        <f t="shared" si="19"/>
        <v>0</v>
      </c>
      <c r="AW28" s="28">
        <f t="shared" si="20"/>
        <v>0</v>
      </c>
      <c r="AY28" s="28">
        <f t="shared" si="21"/>
        <v>0</v>
      </c>
      <c r="AZ28" s="28">
        <f t="shared" si="22"/>
        <v>0</v>
      </c>
      <c r="BA28" s="28">
        <f t="shared" si="23"/>
        <v>0</v>
      </c>
    </row>
    <row r="29" spans="2:53" x14ac:dyDescent="0.25">
      <c r="B29" s="2">
        <v>0</v>
      </c>
      <c r="C29" s="65">
        <v>0</v>
      </c>
      <c r="D29" s="65">
        <v>0</v>
      </c>
      <c r="E29" s="65">
        <v>0</v>
      </c>
      <c r="F29" s="119" t="s">
        <v>8</v>
      </c>
      <c r="G29" s="116">
        <f>+B29*'Cost Calculator'!AD29</f>
        <v>0</v>
      </c>
      <c r="H29" s="120">
        <f t="shared" si="1"/>
        <v>0</v>
      </c>
      <c r="I29" s="120">
        <f t="shared" si="2"/>
        <v>0</v>
      </c>
      <c r="J29" s="121" t="str">
        <f t="shared" si="9"/>
        <v>Deductible &amp; Coinsurance</v>
      </c>
      <c r="O29" s="77">
        <f t="shared" si="10"/>
        <v>0</v>
      </c>
      <c r="P29" s="74">
        <f t="shared" si="11"/>
        <v>0</v>
      </c>
      <c r="Q29" s="74">
        <f t="shared" si="3"/>
        <v>0</v>
      </c>
      <c r="R29" s="74">
        <f t="shared" si="4"/>
        <v>0</v>
      </c>
      <c r="S29" s="74">
        <f t="shared" si="5"/>
        <v>0</v>
      </c>
      <c r="T29" s="76">
        <f t="shared" si="12"/>
        <v>0</v>
      </c>
      <c r="U29" s="75">
        <f t="shared" si="6"/>
        <v>0</v>
      </c>
      <c r="V29" s="75">
        <f t="shared" si="7"/>
        <v>0</v>
      </c>
      <c r="W29" s="75">
        <f t="shared" si="8"/>
        <v>0</v>
      </c>
      <c r="X29" s="72"/>
      <c r="Y29" s="17"/>
      <c r="Z29" s="39" t="s">
        <v>32</v>
      </c>
      <c r="AA29" s="39" t="s">
        <v>32</v>
      </c>
      <c r="AB29" s="39" t="s">
        <v>31</v>
      </c>
      <c r="AC29" s="37"/>
      <c r="AD29" s="140">
        <f>'Allowed Cost'!N20</f>
        <v>15</v>
      </c>
      <c r="AE29" s="40">
        <v>10</v>
      </c>
      <c r="AF29" s="28">
        <v>10</v>
      </c>
      <c r="AG29" s="39" t="s">
        <v>34</v>
      </c>
      <c r="AH29" s="37"/>
      <c r="AI29" s="39" t="s">
        <v>34</v>
      </c>
      <c r="AJ29" s="39" t="s">
        <v>34</v>
      </c>
      <c r="AK29" s="41" t="s">
        <v>34</v>
      </c>
      <c r="AM29" s="28">
        <f t="shared" si="13"/>
        <v>0</v>
      </c>
      <c r="AN29" s="28">
        <f t="shared" si="14"/>
        <v>0</v>
      </c>
      <c r="AO29" s="28">
        <f t="shared" si="15"/>
        <v>0</v>
      </c>
      <c r="AQ29" s="28">
        <f t="shared" si="16"/>
        <v>0</v>
      </c>
      <c r="AR29" s="28">
        <f t="shared" si="17"/>
        <v>0</v>
      </c>
      <c r="AS29" s="28">
        <f>IF(AB29="N",AG29*Q29,0)</f>
        <v>0</v>
      </c>
      <c r="AU29" s="28">
        <f t="shared" si="18"/>
        <v>0</v>
      </c>
      <c r="AV29" s="28">
        <f t="shared" si="19"/>
        <v>0</v>
      </c>
      <c r="AW29" s="28">
        <f t="shared" si="20"/>
        <v>0</v>
      </c>
      <c r="AY29" s="28">
        <f t="shared" si="21"/>
        <v>0</v>
      </c>
      <c r="AZ29" s="28">
        <f t="shared" si="22"/>
        <v>0</v>
      </c>
      <c r="BA29" s="28">
        <f t="shared" si="23"/>
        <v>0</v>
      </c>
    </row>
    <row r="30" spans="2:53" x14ac:dyDescent="0.25">
      <c r="B30" s="2">
        <v>0</v>
      </c>
      <c r="C30" s="65">
        <v>0</v>
      </c>
      <c r="D30" s="65">
        <v>0</v>
      </c>
      <c r="E30" s="65">
        <v>0</v>
      </c>
      <c r="F30" s="119" t="s">
        <v>9</v>
      </c>
      <c r="G30" s="116">
        <f>+B30*'Cost Calculator'!AD30</f>
        <v>0</v>
      </c>
      <c r="H30" s="120">
        <f t="shared" si="1"/>
        <v>0</v>
      </c>
      <c r="I30" s="120">
        <f t="shared" si="2"/>
        <v>0</v>
      </c>
      <c r="J30" s="121" t="str">
        <f t="shared" si="9"/>
        <v>Deductible &amp; Coinsurance</v>
      </c>
      <c r="O30" s="77">
        <f t="shared" si="10"/>
        <v>0</v>
      </c>
      <c r="P30" s="74">
        <f t="shared" si="11"/>
        <v>0</v>
      </c>
      <c r="Q30" s="74">
        <f t="shared" si="3"/>
        <v>0</v>
      </c>
      <c r="R30" s="74">
        <f t="shared" si="4"/>
        <v>0</v>
      </c>
      <c r="S30" s="74">
        <f t="shared" si="5"/>
        <v>0</v>
      </c>
      <c r="T30" s="76">
        <f t="shared" si="12"/>
        <v>0</v>
      </c>
      <c r="U30" s="75">
        <f t="shared" si="6"/>
        <v>0</v>
      </c>
      <c r="V30" s="75">
        <f t="shared" si="7"/>
        <v>0</v>
      </c>
      <c r="W30" s="75">
        <f t="shared" si="8"/>
        <v>0</v>
      </c>
      <c r="X30" s="72"/>
      <c r="Y30" s="17"/>
      <c r="Z30" s="39" t="s">
        <v>32</v>
      </c>
      <c r="AA30" s="39" t="s">
        <v>32</v>
      </c>
      <c r="AB30" s="39" t="s">
        <v>31</v>
      </c>
      <c r="AC30" s="37"/>
      <c r="AD30" s="140">
        <f>'Allowed Cost'!N21</f>
        <v>275</v>
      </c>
      <c r="AE30" s="40">
        <v>35</v>
      </c>
      <c r="AF30" s="28">
        <v>25</v>
      </c>
      <c r="AG30" s="39" t="s">
        <v>34</v>
      </c>
      <c r="AH30" s="37"/>
      <c r="AI30" s="39" t="s">
        <v>34</v>
      </c>
      <c r="AJ30" s="39" t="s">
        <v>34</v>
      </c>
      <c r="AK30" s="41" t="s">
        <v>34</v>
      </c>
      <c r="AM30" s="28">
        <f t="shared" ref="AM30:AM34" si="25">IF($Z30="N",$AE30*$P30,0)</f>
        <v>0</v>
      </c>
      <c r="AN30" s="28">
        <f t="shared" si="14"/>
        <v>0</v>
      </c>
      <c r="AO30" s="28">
        <f t="shared" si="15"/>
        <v>0</v>
      </c>
      <c r="AQ30" s="28">
        <f t="shared" si="16"/>
        <v>0</v>
      </c>
      <c r="AR30" s="28">
        <f t="shared" si="17"/>
        <v>0</v>
      </c>
      <c r="AS30" s="28">
        <f t="shared" si="24"/>
        <v>0</v>
      </c>
      <c r="AU30" s="28">
        <f t="shared" si="18"/>
        <v>0</v>
      </c>
      <c r="AV30" s="28">
        <f t="shared" si="19"/>
        <v>0</v>
      </c>
      <c r="AW30" s="28">
        <f t="shared" si="20"/>
        <v>0</v>
      </c>
      <c r="AY30" s="28">
        <f>IF($Z30="N",$AE30*$S30,0)</f>
        <v>0</v>
      </c>
      <c r="AZ30" s="28">
        <f t="shared" si="22"/>
        <v>0</v>
      </c>
      <c r="BA30" s="28">
        <f t="shared" si="23"/>
        <v>0</v>
      </c>
    </row>
    <row r="31" spans="2:53" x14ac:dyDescent="0.25">
      <c r="B31" s="2">
        <v>0</v>
      </c>
      <c r="C31" s="65">
        <v>0</v>
      </c>
      <c r="D31" s="65">
        <v>0</v>
      </c>
      <c r="E31" s="65">
        <v>0</v>
      </c>
      <c r="F31" s="119" t="s">
        <v>10</v>
      </c>
      <c r="G31" s="116">
        <f>+B31*'Cost Calculator'!AD31</f>
        <v>0</v>
      </c>
      <c r="H31" s="120">
        <f t="shared" si="1"/>
        <v>0</v>
      </c>
      <c r="I31" s="120">
        <f t="shared" si="2"/>
        <v>0</v>
      </c>
      <c r="J31" s="121" t="str">
        <f t="shared" si="9"/>
        <v>Deductible &amp; Coinsurance</v>
      </c>
      <c r="O31" s="77">
        <f t="shared" si="10"/>
        <v>0</v>
      </c>
      <c r="P31" s="74">
        <f t="shared" si="11"/>
        <v>0</v>
      </c>
      <c r="Q31" s="74">
        <f t="shared" si="3"/>
        <v>0</v>
      </c>
      <c r="R31" s="74">
        <f t="shared" si="4"/>
        <v>0</v>
      </c>
      <c r="S31" s="74">
        <f t="shared" si="5"/>
        <v>0</v>
      </c>
      <c r="T31" s="76">
        <f t="shared" si="12"/>
        <v>0</v>
      </c>
      <c r="U31" s="75">
        <f t="shared" si="6"/>
        <v>0</v>
      </c>
      <c r="V31" s="75">
        <f t="shared" si="7"/>
        <v>0</v>
      </c>
      <c r="W31" s="75">
        <f t="shared" si="8"/>
        <v>0</v>
      </c>
      <c r="X31" s="72"/>
      <c r="Y31" s="17"/>
      <c r="Z31" s="39" t="s">
        <v>32</v>
      </c>
      <c r="AA31" s="39" t="s">
        <v>32</v>
      </c>
      <c r="AB31" s="39" t="s">
        <v>31</v>
      </c>
      <c r="AC31" s="37"/>
      <c r="AD31" s="141">
        <f>'Allowed Cost'!N22</f>
        <v>375</v>
      </c>
      <c r="AE31" s="61">
        <v>50</v>
      </c>
      <c r="AF31" s="26">
        <v>40</v>
      </c>
      <c r="AG31" s="62" t="s">
        <v>34</v>
      </c>
      <c r="AH31" s="37"/>
      <c r="AI31" s="39" t="s">
        <v>34</v>
      </c>
      <c r="AJ31" s="39" t="s">
        <v>34</v>
      </c>
      <c r="AK31" s="41" t="s">
        <v>34</v>
      </c>
      <c r="AM31" s="28">
        <f t="shared" si="25"/>
        <v>0</v>
      </c>
      <c r="AN31" s="28">
        <f t="shared" si="14"/>
        <v>0</v>
      </c>
      <c r="AO31" s="28">
        <f t="shared" si="15"/>
        <v>0</v>
      </c>
      <c r="AQ31" s="28">
        <f t="shared" si="16"/>
        <v>0</v>
      </c>
      <c r="AR31" s="28">
        <f t="shared" si="17"/>
        <v>0</v>
      </c>
      <c r="AS31" s="28">
        <f t="shared" si="24"/>
        <v>0</v>
      </c>
      <c r="AU31" s="28">
        <f t="shared" si="18"/>
        <v>0</v>
      </c>
      <c r="AV31" s="28">
        <f t="shared" si="19"/>
        <v>0</v>
      </c>
      <c r="AW31" s="28">
        <f t="shared" si="20"/>
        <v>0</v>
      </c>
      <c r="AY31" s="28">
        <f>IF($Z31="N",$AE31*$S31,0)</f>
        <v>0</v>
      </c>
      <c r="AZ31" s="28">
        <f t="shared" si="22"/>
        <v>0</v>
      </c>
      <c r="BA31" s="28">
        <f t="shared" si="23"/>
        <v>0</v>
      </c>
    </row>
    <row r="32" spans="2:53" x14ac:dyDescent="0.25">
      <c r="B32" s="2">
        <v>0</v>
      </c>
      <c r="C32" s="65">
        <v>0</v>
      </c>
      <c r="D32" s="65">
        <v>0</v>
      </c>
      <c r="E32" s="65">
        <v>0</v>
      </c>
      <c r="F32" s="119" t="s">
        <v>11</v>
      </c>
      <c r="G32" s="116">
        <f>+B32*'Cost Calculator'!AD32</f>
        <v>0</v>
      </c>
      <c r="H32" s="120">
        <f t="shared" si="1"/>
        <v>0</v>
      </c>
      <c r="I32" s="120">
        <f t="shared" si="2"/>
        <v>0</v>
      </c>
      <c r="J32" s="121" t="str">
        <f t="shared" si="9"/>
        <v>Deductible &amp; Coinsurance</v>
      </c>
      <c r="O32" s="77">
        <f t="shared" si="10"/>
        <v>0</v>
      </c>
      <c r="P32" s="74">
        <f t="shared" si="11"/>
        <v>0</v>
      </c>
      <c r="Q32" s="74">
        <f t="shared" si="3"/>
        <v>0</v>
      </c>
      <c r="R32" s="74">
        <f t="shared" si="4"/>
        <v>0</v>
      </c>
      <c r="S32" s="74">
        <f t="shared" si="5"/>
        <v>0</v>
      </c>
      <c r="T32" s="76">
        <f t="shared" si="12"/>
        <v>0</v>
      </c>
      <c r="U32" s="75">
        <f t="shared" si="6"/>
        <v>0</v>
      </c>
      <c r="V32" s="75">
        <f t="shared" si="7"/>
        <v>0</v>
      </c>
      <c r="W32" s="75">
        <f t="shared" si="8"/>
        <v>0</v>
      </c>
      <c r="X32" s="72"/>
      <c r="Y32" s="17"/>
      <c r="Z32" s="39" t="s">
        <v>32</v>
      </c>
      <c r="AA32" s="39" t="s">
        <v>32</v>
      </c>
      <c r="AB32" s="39" t="s">
        <v>31</v>
      </c>
      <c r="AC32" s="37"/>
      <c r="AD32" s="140">
        <f>'Allowed Cost'!N23</f>
        <v>1100</v>
      </c>
      <c r="AE32" s="40">
        <v>125</v>
      </c>
      <c r="AF32" s="28">
        <v>125</v>
      </c>
      <c r="AG32" s="39" t="s">
        <v>34</v>
      </c>
      <c r="AH32" s="37"/>
      <c r="AI32" s="41">
        <v>0</v>
      </c>
      <c r="AJ32" s="41">
        <v>0</v>
      </c>
      <c r="AK32" s="41">
        <v>0.2</v>
      </c>
      <c r="AM32" s="63">
        <f>IF($Z32="N",$AE32*$P32,0)+(($G32-($AE32*$P32))*$AI32)</f>
        <v>0</v>
      </c>
      <c r="AN32" s="63">
        <f>IF($AA32="N",$AF32*$P32,0)+(($G32-($AE32*$P32))*$AJ32)</f>
        <v>0</v>
      </c>
      <c r="AO32" s="28">
        <f>IF(AB32="N",AG32*$O32,0)</f>
        <v>0</v>
      </c>
      <c r="AQ32" s="63">
        <f>IF($Z32="N",$AE32*$Q32,0)+(($G32-($AE32*$Q32))*$AI32)</f>
        <v>0</v>
      </c>
      <c r="AR32" s="63">
        <f>IF($AA32="N",$AF32*$Q32,0)+(($G32-($AE32*$Q32))*$AJ32)</f>
        <v>0</v>
      </c>
      <c r="AS32" s="28">
        <f>IF(AB32="N",AG32*Q32,0)</f>
        <v>0</v>
      </c>
      <c r="AU32" s="63">
        <f>IF($Z32="N",$AE32*$R32,0)+(($G32-($AE32*$R32))*$AI32)</f>
        <v>0</v>
      </c>
      <c r="AV32" s="63">
        <f>IF($AA32="N",$AF32*$R32,0)+(($G32-($AE32*$R32))*$AJ32)</f>
        <v>0</v>
      </c>
      <c r="AW32" s="28">
        <f>IF($AB32="N",$AG32*R32,0)</f>
        <v>0</v>
      </c>
      <c r="AY32" s="63">
        <f>IF($Z32="N",$AE32*$S32,0)+(($G32-($AE32*$S32))*$AI32)</f>
        <v>0</v>
      </c>
      <c r="AZ32" s="63">
        <f>IF($AA32="N",$AF32*$S32,0)+(($G32-($AE32*$EV32))*$AJ32)</f>
        <v>0</v>
      </c>
      <c r="BA32" s="28">
        <f>IF($AB32="N",$AG32*W32,0)</f>
        <v>0</v>
      </c>
    </row>
    <row r="33" spans="2:53" x14ac:dyDescent="0.25">
      <c r="B33" s="2">
        <v>0</v>
      </c>
      <c r="C33" s="65">
        <v>0</v>
      </c>
      <c r="D33" s="65">
        <v>0</v>
      </c>
      <c r="E33" s="65">
        <v>0</v>
      </c>
      <c r="F33" s="119" t="s">
        <v>128</v>
      </c>
      <c r="G33" s="116">
        <f>+B33*'Cost Calculator'!AD33</f>
        <v>0</v>
      </c>
      <c r="H33" s="120" t="str">
        <f t="shared" si="1"/>
        <v>Deductible &amp; Coinsurance</v>
      </c>
      <c r="I33" s="120" t="str">
        <f t="shared" si="2"/>
        <v>Deductible &amp; Coinsurance</v>
      </c>
      <c r="J33" s="121" t="str">
        <f t="shared" si="9"/>
        <v>Deductible &amp; Coinsurance</v>
      </c>
      <c r="O33" s="77">
        <f t="shared" si="10"/>
        <v>0</v>
      </c>
      <c r="P33" s="74">
        <f t="shared" si="11"/>
        <v>0</v>
      </c>
      <c r="Q33" s="74">
        <f t="shared" si="3"/>
        <v>0</v>
      </c>
      <c r="R33" s="74">
        <f t="shared" si="4"/>
        <v>0</v>
      </c>
      <c r="S33" s="74">
        <f t="shared" si="5"/>
        <v>0</v>
      </c>
      <c r="T33" s="76">
        <f t="shared" si="12"/>
        <v>0</v>
      </c>
      <c r="U33" s="75">
        <f t="shared" si="6"/>
        <v>0</v>
      </c>
      <c r="V33" s="75">
        <f t="shared" si="7"/>
        <v>0</v>
      </c>
      <c r="W33" s="75">
        <f t="shared" si="8"/>
        <v>0</v>
      </c>
      <c r="X33" s="72"/>
      <c r="Y33" s="17"/>
      <c r="Z33" s="39" t="s">
        <v>31</v>
      </c>
      <c r="AA33" s="39" t="s">
        <v>31</v>
      </c>
      <c r="AB33" s="39" t="s">
        <v>31</v>
      </c>
      <c r="AC33" s="37"/>
      <c r="AD33" s="140">
        <f>'Allowed Cost'!N24</f>
        <v>4000</v>
      </c>
      <c r="AE33" s="40" t="s">
        <v>34</v>
      </c>
      <c r="AF33" s="28" t="s">
        <v>34</v>
      </c>
      <c r="AG33" s="39" t="s">
        <v>34</v>
      </c>
      <c r="AH33" s="37"/>
      <c r="AI33" s="41">
        <v>0.2</v>
      </c>
      <c r="AJ33" s="41">
        <v>0.2</v>
      </c>
      <c r="AK33" s="41">
        <v>0.2</v>
      </c>
      <c r="AM33" s="28">
        <f>IF($Z33="N",$AE33*$P33,0)</f>
        <v>0</v>
      </c>
      <c r="AN33" s="28">
        <f t="shared" ref="AN33:AN34" si="26">IF($AA33="N",$AF33*$P33,0)</f>
        <v>0</v>
      </c>
      <c r="AO33" s="28">
        <f>IF(AB33="N",AG33*$O33,0)</f>
        <v>0</v>
      </c>
      <c r="AQ33" s="28">
        <f t="shared" si="16"/>
        <v>0</v>
      </c>
      <c r="AR33" s="28">
        <f>IF($AA33="N",$AF33*$Q33,0)</f>
        <v>0</v>
      </c>
      <c r="AS33" s="28">
        <f t="shared" si="24"/>
        <v>0</v>
      </c>
      <c r="AU33" s="28">
        <f t="shared" si="18"/>
        <v>0</v>
      </c>
      <c r="AV33" s="28">
        <f t="shared" ref="AV33:AV34" si="27">IF($AA33="N",$AF33*$R33,0)</f>
        <v>0</v>
      </c>
      <c r="AW33" s="28">
        <f t="shared" si="20"/>
        <v>0</v>
      </c>
      <c r="AY33" s="28">
        <f>IF($Z33="N",$AE33*$S33,0)</f>
        <v>0</v>
      </c>
      <c r="AZ33" s="28">
        <f>IF($AA33="N",$AF33*$S33,0)</f>
        <v>0</v>
      </c>
      <c r="BA33" s="28">
        <f t="shared" si="23"/>
        <v>0</v>
      </c>
    </row>
    <row r="34" spans="2:53" x14ac:dyDescent="0.25">
      <c r="B34" s="3">
        <v>0</v>
      </c>
      <c r="C34" s="66">
        <v>0</v>
      </c>
      <c r="D34" s="66">
        <v>0</v>
      </c>
      <c r="E34" s="66">
        <v>0</v>
      </c>
      <c r="F34" s="122" t="s">
        <v>12</v>
      </c>
      <c r="G34" s="123">
        <f>+B34*'Cost Calculator'!AD34</f>
        <v>0</v>
      </c>
      <c r="H34" s="124" t="str">
        <f t="shared" si="1"/>
        <v>Deductible &amp; Coinsurance</v>
      </c>
      <c r="I34" s="121" t="str">
        <f t="shared" si="2"/>
        <v>Deductible &amp; Coinsurance</v>
      </c>
      <c r="J34" s="121" t="str">
        <f t="shared" si="9"/>
        <v>Deductible &amp; Coinsurance</v>
      </c>
      <c r="O34" s="77">
        <f t="shared" si="10"/>
        <v>0</v>
      </c>
      <c r="P34" s="74">
        <f t="shared" si="11"/>
        <v>0</v>
      </c>
      <c r="Q34" s="74">
        <f t="shared" si="3"/>
        <v>0</v>
      </c>
      <c r="R34" s="74">
        <f t="shared" si="4"/>
        <v>0</v>
      </c>
      <c r="S34" s="74">
        <f t="shared" si="5"/>
        <v>0</v>
      </c>
      <c r="T34" s="76">
        <f t="shared" si="12"/>
        <v>0</v>
      </c>
      <c r="U34" s="75">
        <f t="shared" si="6"/>
        <v>0</v>
      </c>
      <c r="V34" s="75">
        <f t="shared" si="7"/>
        <v>0</v>
      </c>
      <c r="W34" s="75">
        <f t="shared" si="8"/>
        <v>0</v>
      </c>
      <c r="X34" s="72"/>
      <c r="Y34" s="17"/>
      <c r="Z34" s="39" t="s">
        <v>31</v>
      </c>
      <c r="AA34" s="39" t="s">
        <v>31</v>
      </c>
      <c r="AB34" s="39" t="s">
        <v>31</v>
      </c>
      <c r="AC34" s="37"/>
      <c r="AD34" s="140">
        <f>'Allowed Cost'!N25</f>
        <v>1400</v>
      </c>
      <c r="AE34" s="40" t="s">
        <v>34</v>
      </c>
      <c r="AF34" s="28" t="s">
        <v>34</v>
      </c>
      <c r="AG34" s="39" t="s">
        <v>34</v>
      </c>
      <c r="AI34" s="41">
        <v>0.2</v>
      </c>
      <c r="AJ34" s="41">
        <v>0.2</v>
      </c>
      <c r="AK34" s="41">
        <v>0.2</v>
      </c>
      <c r="AM34" s="28">
        <f t="shared" si="25"/>
        <v>0</v>
      </c>
      <c r="AN34" s="28">
        <f t="shared" si="26"/>
        <v>0</v>
      </c>
      <c r="AO34" s="28">
        <f t="shared" si="15"/>
        <v>0</v>
      </c>
      <c r="AQ34" s="28">
        <f t="shared" si="16"/>
        <v>0</v>
      </c>
      <c r="AR34" s="28">
        <f>IF($AA34="N",$AF34*$Q34,0)</f>
        <v>0</v>
      </c>
      <c r="AS34" s="28">
        <f t="shared" si="24"/>
        <v>0</v>
      </c>
      <c r="AU34" s="28">
        <f t="shared" si="18"/>
        <v>0</v>
      </c>
      <c r="AV34" s="28">
        <f t="shared" si="27"/>
        <v>0</v>
      </c>
      <c r="AW34" s="28">
        <f>IF($AB34="N",$AG34*R34,0)</f>
        <v>0</v>
      </c>
      <c r="AY34" s="28">
        <f>IF($Z34="N",$AE34*$S34,0)</f>
        <v>0</v>
      </c>
      <c r="AZ34" s="28">
        <f>IF($AA34="N",$AF34*$S34,0)</f>
        <v>0</v>
      </c>
      <c r="BA34" s="28">
        <f t="shared" si="23"/>
        <v>0</v>
      </c>
    </row>
    <row r="35" spans="2:53" x14ac:dyDescent="0.25">
      <c r="B35" s="176" t="s">
        <v>27</v>
      </c>
      <c r="C35" s="177"/>
      <c r="D35" s="177"/>
      <c r="E35" s="177"/>
      <c r="F35" s="178"/>
      <c r="G35" s="179"/>
      <c r="H35" s="180">
        <f>+BC11</f>
        <v>0</v>
      </c>
      <c r="I35" s="181">
        <f>+BD11</f>
        <v>0</v>
      </c>
      <c r="J35" s="182">
        <f>+BE11</f>
        <v>110</v>
      </c>
      <c r="Z35" s="42"/>
      <c r="AA35" s="42"/>
      <c r="AB35" s="42"/>
      <c r="AC35" s="42"/>
      <c r="AD35" s="95"/>
      <c r="AE35" s="96"/>
      <c r="AF35" s="96"/>
      <c r="AG35" s="96"/>
      <c r="AQ35" s="19"/>
    </row>
    <row r="36" spans="2:53" x14ac:dyDescent="0.25">
      <c r="B36" s="183" t="s">
        <v>28</v>
      </c>
      <c r="C36" s="184"/>
      <c r="D36" s="184"/>
      <c r="E36" s="184"/>
      <c r="F36" s="185"/>
      <c r="G36" s="186"/>
      <c r="H36" s="187">
        <f>+BC15</f>
        <v>35</v>
      </c>
      <c r="I36" s="188">
        <f>+BD15</f>
        <v>25</v>
      </c>
      <c r="J36" s="189">
        <f>+BE15</f>
        <v>110</v>
      </c>
      <c r="Z36" s="42"/>
      <c r="AA36" s="42"/>
      <c r="AB36" s="42"/>
      <c r="AC36" s="42"/>
      <c r="AD36" s="88"/>
      <c r="AE36" s="89"/>
      <c r="AF36" s="89"/>
      <c r="AG36" s="96"/>
      <c r="AQ36" s="19"/>
    </row>
    <row r="37" spans="2:53" x14ac:dyDescent="0.25">
      <c r="B37" s="183" t="s">
        <v>29</v>
      </c>
      <c r="C37" s="184"/>
      <c r="D37" s="184"/>
      <c r="E37" s="184"/>
      <c r="F37" s="185"/>
      <c r="G37" s="186"/>
      <c r="H37" s="187">
        <f>MIN(H36,IF(Tier="Employee",Z14,Z15))</f>
        <v>35</v>
      </c>
      <c r="I37" s="188">
        <f>MIN(I36,IF(Tier="Employee",AA14,AA15))</f>
        <v>25</v>
      </c>
      <c r="J37" s="188">
        <f>MIN(J36,IF(Tier="Employee",AB14,AB15))</f>
        <v>110</v>
      </c>
      <c r="Z37" s="37"/>
      <c r="AA37" s="37"/>
      <c r="AB37" s="37"/>
      <c r="AC37" s="37"/>
      <c r="AD37" s="88"/>
      <c r="AE37" s="89"/>
      <c r="AF37" s="89"/>
      <c r="AG37" s="97"/>
    </row>
    <row r="38" spans="2:53" ht="15.75" thickBot="1" x14ac:dyDescent="0.3">
      <c r="B38" s="200" t="s">
        <v>44</v>
      </c>
      <c r="C38" s="201"/>
      <c r="D38" s="202"/>
      <c r="E38" s="202"/>
      <c r="F38" s="202"/>
      <c r="G38" s="202"/>
      <c r="H38" s="203">
        <f>+H37</f>
        <v>35</v>
      </c>
      <c r="I38" s="203">
        <f>+I37</f>
        <v>25</v>
      </c>
      <c r="J38" s="204">
        <f>MAX(J37-(B15*12)-J46,0)</f>
        <v>0</v>
      </c>
      <c r="Z38" s="37"/>
      <c r="AA38" s="37"/>
      <c r="AB38" s="37"/>
      <c r="AC38" s="37"/>
      <c r="AD38" s="88"/>
      <c r="AE38" s="89"/>
      <c r="AF38" s="89"/>
      <c r="AG38" s="97"/>
    </row>
    <row r="39" spans="2:53" x14ac:dyDescent="0.25">
      <c r="B39" s="31"/>
      <c r="C39" s="31"/>
      <c r="D39" s="31"/>
      <c r="E39" s="31"/>
      <c r="F39" s="31"/>
      <c r="G39" s="31"/>
      <c r="H39" s="33"/>
      <c r="I39" s="33"/>
      <c r="J39" s="33"/>
      <c r="AD39" s="98"/>
      <c r="AE39" s="89"/>
      <c r="AF39" s="89"/>
      <c r="AG39" s="96"/>
    </row>
    <row r="40" spans="2:53" ht="18.600000000000001" customHeight="1" x14ac:dyDescent="0.25">
      <c r="B40" s="190" t="s">
        <v>23</v>
      </c>
      <c r="C40" s="191"/>
      <c r="D40" s="191"/>
      <c r="E40" s="191"/>
      <c r="F40" s="191"/>
      <c r="G40" s="191"/>
      <c r="H40" s="192"/>
      <c r="I40" s="193"/>
      <c r="J40" s="194"/>
      <c r="Z40" s="14"/>
      <c r="AD40" s="90"/>
      <c r="AE40" s="91"/>
      <c r="AF40" s="91"/>
      <c r="AG40" s="96"/>
    </row>
    <row r="41" spans="2:53" x14ac:dyDescent="0.25">
      <c r="B41" s="112" t="s">
        <v>71</v>
      </c>
      <c r="C41" s="67"/>
      <c r="D41" s="67"/>
      <c r="E41" s="67"/>
      <c r="F41" s="44"/>
      <c r="G41" s="44"/>
      <c r="H41" s="45">
        <f t="shared" ref="H41:I41" si="28">+H38</f>
        <v>35</v>
      </c>
      <c r="I41" s="45">
        <f t="shared" si="28"/>
        <v>25</v>
      </c>
      <c r="J41" s="46">
        <f>+J38</f>
        <v>0</v>
      </c>
      <c r="AD41" s="90"/>
      <c r="AE41" s="91"/>
      <c r="AF41" s="91"/>
      <c r="AG41" s="96"/>
    </row>
    <row r="42" spans="2:53" x14ac:dyDescent="0.25">
      <c r="B42" s="113" t="s">
        <v>72</v>
      </c>
      <c r="C42" s="68"/>
      <c r="D42" s="68"/>
      <c r="E42" s="68"/>
      <c r="F42" s="31"/>
      <c r="G42" s="31"/>
      <c r="H42" s="45">
        <f>+B11*12</f>
        <v>5492.64</v>
      </c>
      <c r="I42" s="45">
        <f>+B12*12</f>
        <v>5076.12</v>
      </c>
      <c r="J42" s="46">
        <f>+B13*12</f>
        <v>3419.5199999999995</v>
      </c>
      <c r="AD42" s="92"/>
      <c r="AE42" s="89"/>
      <c r="AF42" s="89"/>
      <c r="AG42" s="96"/>
    </row>
    <row r="43" spans="2:53" x14ac:dyDescent="0.25">
      <c r="B43" s="113" t="s">
        <v>73</v>
      </c>
      <c r="C43" s="68"/>
      <c r="D43" s="68"/>
      <c r="E43" s="68"/>
      <c r="F43" s="31"/>
      <c r="G43" s="31"/>
      <c r="H43" s="45">
        <v>0</v>
      </c>
      <c r="I43" s="45">
        <v>0</v>
      </c>
      <c r="J43" s="46">
        <f>+B15*12</f>
        <v>360</v>
      </c>
      <c r="AD43" s="88"/>
      <c r="AE43" s="89"/>
      <c r="AF43" s="89"/>
      <c r="AG43" s="99"/>
      <c r="AM43" s="83"/>
      <c r="AN43" s="83"/>
      <c r="AO43" s="83"/>
      <c r="AP43" s="83"/>
      <c r="AQ43" s="83"/>
    </row>
    <row r="44" spans="2:53" x14ac:dyDescent="0.25">
      <c r="B44" s="113" t="s">
        <v>74</v>
      </c>
      <c r="C44" s="68"/>
      <c r="D44" s="68"/>
      <c r="E44" s="68"/>
      <c r="F44" s="31"/>
      <c r="G44" s="31"/>
      <c r="H44" s="249">
        <f>-$B$14*H42</f>
        <v>-1373.16</v>
      </c>
      <c r="I44" s="45">
        <f>-$B$14*I42</f>
        <v>-1269.03</v>
      </c>
      <c r="J44" s="248">
        <f>-$B$14*J42</f>
        <v>-854.87999999999988</v>
      </c>
      <c r="AD44" s="88"/>
      <c r="AE44" s="89"/>
      <c r="AF44" s="89"/>
      <c r="AG44" s="96"/>
      <c r="AM44" s="102"/>
      <c r="AN44" s="43"/>
      <c r="AO44" s="43"/>
      <c r="AP44" s="83"/>
      <c r="AQ44" s="83"/>
    </row>
    <row r="45" spans="2:53" x14ac:dyDescent="0.25">
      <c r="B45" s="113" t="s">
        <v>75</v>
      </c>
      <c r="C45" s="68"/>
      <c r="D45" s="68"/>
      <c r="E45" s="68"/>
      <c r="F45" s="31"/>
      <c r="G45" s="31"/>
      <c r="H45" s="45">
        <v>0</v>
      </c>
      <c r="I45" s="45">
        <v>0</v>
      </c>
      <c r="J45" s="46">
        <f>-$B$14*J43</f>
        <v>-90</v>
      </c>
      <c r="AD45" s="88"/>
      <c r="AE45" s="89"/>
      <c r="AF45" s="89"/>
      <c r="AG45" s="96"/>
    </row>
    <row r="46" spans="2:53" x14ac:dyDescent="0.25">
      <c r="B46" s="113" t="s">
        <v>112</v>
      </c>
      <c r="C46" s="68"/>
      <c r="D46" s="68"/>
      <c r="E46" s="68"/>
      <c r="F46" s="31"/>
      <c r="G46" s="31"/>
      <c r="H46" s="45">
        <v>0</v>
      </c>
      <c r="I46" s="45">
        <v>0</v>
      </c>
      <c r="J46" s="46">
        <f>+J64</f>
        <v>1380</v>
      </c>
      <c r="AD46" s="98"/>
      <c r="AE46" s="89"/>
      <c r="AF46" s="89"/>
      <c r="AG46" s="96"/>
    </row>
    <row r="47" spans="2:53" x14ac:dyDescent="0.25">
      <c r="B47" s="114" t="s">
        <v>76</v>
      </c>
      <c r="C47" s="69"/>
      <c r="D47" s="69"/>
      <c r="E47" s="69"/>
      <c r="F47" s="47"/>
      <c r="G47" s="47"/>
      <c r="H47" s="48">
        <f>SUM(H41:H45)</f>
        <v>4154.4800000000005</v>
      </c>
      <c r="I47" s="48">
        <f>SUM(I41:I45)</f>
        <v>3832.09</v>
      </c>
      <c r="J47" s="49">
        <f>SUM(J41:J45)</f>
        <v>2834.6399999999994</v>
      </c>
      <c r="AD47" s="90"/>
      <c r="AE47" s="91"/>
      <c r="AF47" s="91"/>
      <c r="AG47" s="96"/>
    </row>
    <row r="48" spans="2:53" x14ac:dyDescent="0.25">
      <c r="B48" s="114" t="s">
        <v>43</v>
      </c>
      <c r="C48" s="69"/>
      <c r="D48" s="69"/>
      <c r="E48" s="69"/>
      <c r="F48" s="47"/>
      <c r="G48" s="47"/>
      <c r="H48" s="48">
        <v>0</v>
      </c>
      <c r="I48" s="48">
        <v>0</v>
      </c>
      <c r="J48" s="49">
        <f>+J38-J37+(B15*12)+J46</f>
        <v>1630</v>
      </c>
      <c r="AD48" s="90"/>
      <c r="AE48" s="91"/>
      <c r="AF48" s="91"/>
      <c r="AG48" s="96"/>
    </row>
    <row r="49" spans="2:53" s="78" customFormat="1" ht="17.45" customHeight="1" x14ac:dyDescent="0.25">
      <c r="B49" s="195" t="s">
        <v>45</v>
      </c>
      <c r="C49" s="196"/>
      <c r="D49" s="196"/>
      <c r="E49" s="196"/>
      <c r="F49" s="197"/>
      <c r="G49" s="197"/>
      <c r="H49" s="198">
        <f t="shared" ref="H49:I49" si="29">MAX(H47-H48,0)</f>
        <v>4154.4800000000005</v>
      </c>
      <c r="I49" s="198">
        <f t="shared" si="29"/>
        <v>3832.09</v>
      </c>
      <c r="J49" s="199">
        <f>MAX(J47-J48,0)</f>
        <v>1204.6399999999994</v>
      </c>
      <c r="O49" s="79"/>
      <c r="P49" s="79"/>
      <c r="Q49" s="79"/>
      <c r="R49" s="79"/>
      <c r="S49" s="79"/>
      <c r="T49" s="79"/>
      <c r="U49" s="79"/>
      <c r="V49" s="79"/>
      <c r="W49" s="79"/>
      <c r="X49" s="79"/>
      <c r="Y49" s="79"/>
      <c r="AD49" s="93"/>
      <c r="AE49" s="93"/>
      <c r="AF49" s="94"/>
      <c r="AG49" s="100"/>
      <c r="AS49" s="209"/>
      <c r="AW49" s="209"/>
      <c r="BA49" s="209"/>
    </row>
    <row r="50" spans="2:53" ht="11.45" customHeight="1" x14ac:dyDescent="0.25">
      <c r="B50" s="31"/>
      <c r="C50" s="31"/>
      <c r="D50" s="31"/>
      <c r="E50" s="31"/>
      <c r="F50" s="50"/>
      <c r="G50" s="50"/>
      <c r="H50" s="50"/>
      <c r="I50" s="50"/>
      <c r="J50" s="50"/>
      <c r="AD50" s="101"/>
      <c r="AE50" s="101"/>
      <c r="AF50" s="101"/>
      <c r="AG50" s="96"/>
    </row>
    <row r="51" spans="2:53" ht="16.5" x14ac:dyDescent="0.25">
      <c r="B51" s="51"/>
      <c r="C51" s="51"/>
      <c r="D51" s="51"/>
      <c r="E51" s="51"/>
      <c r="F51" s="51"/>
      <c r="G51" s="51"/>
      <c r="H51" s="52"/>
      <c r="I51" s="52"/>
      <c r="J51" s="52"/>
      <c r="AD51" s="88"/>
      <c r="AE51" s="89"/>
      <c r="AF51" s="89"/>
      <c r="AG51" s="96"/>
    </row>
    <row r="52" spans="2:53" ht="12" customHeight="1" x14ac:dyDescent="0.25">
      <c r="B52" s="31"/>
      <c r="C52" s="31"/>
      <c r="D52" s="31"/>
      <c r="E52" s="31"/>
      <c r="F52" s="31"/>
      <c r="G52" s="31"/>
      <c r="H52" s="31"/>
      <c r="I52" s="31"/>
      <c r="J52" s="50"/>
      <c r="AD52" s="88"/>
      <c r="AE52" s="89"/>
      <c r="AF52" s="89"/>
      <c r="AG52" s="96"/>
    </row>
    <row r="53" spans="2:53" x14ac:dyDescent="0.25">
      <c r="B53" s="260" t="s">
        <v>79</v>
      </c>
      <c r="C53" s="260"/>
      <c r="D53" s="260"/>
      <c r="E53" s="260"/>
      <c r="F53" s="260"/>
      <c r="G53" s="260"/>
      <c r="H53" s="260"/>
      <c r="I53" s="260"/>
      <c r="J53" s="260"/>
      <c r="AD53" s="88"/>
      <c r="AE53" s="89"/>
      <c r="AF53" s="89"/>
      <c r="AG53" s="99"/>
    </row>
    <row r="54" spans="2:53" ht="6" customHeight="1" thickBot="1" x14ac:dyDescent="0.3">
      <c r="B54" s="31"/>
      <c r="C54" s="31"/>
      <c r="D54" s="31"/>
      <c r="E54" s="31"/>
      <c r="F54" s="31"/>
      <c r="G54" s="31"/>
      <c r="H54" s="31"/>
      <c r="I54" s="31"/>
      <c r="J54" s="50"/>
      <c r="AD54" s="98"/>
      <c r="AE54" s="89"/>
      <c r="AF54" s="89"/>
      <c r="AG54" s="96"/>
    </row>
    <row r="55" spans="2:53" ht="18" customHeight="1" x14ac:dyDescent="0.25">
      <c r="B55" s="287" t="s">
        <v>129</v>
      </c>
      <c r="C55" s="288"/>
      <c r="D55" s="288"/>
      <c r="E55" s="288"/>
      <c r="F55" s="288"/>
      <c r="G55" s="288"/>
      <c r="H55" s="288"/>
      <c r="I55" s="288"/>
      <c r="J55" s="289"/>
      <c r="AD55" s="90"/>
      <c r="AE55" s="91"/>
      <c r="AF55" s="91"/>
      <c r="AG55" s="96"/>
    </row>
    <row r="56" spans="2:53" ht="18" customHeight="1" x14ac:dyDescent="0.25">
      <c r="B56" s="290"/>
      <c r="C56" s="291"/>
      <c r="D56" s="291"/>
      <c r="E56" s="291"/>
      <c r="F56" s="291"/>
      <c r="G56" s="291"/>
      <c r="H56" s="291"/>
      <c r="I56" s="291"/>
      <c r="J56" s="292"/>
      <c r="AD56" s="90"/>
      <c r="AE56" s="91"/>
      <c r="AF56" s="91"/>
      <c r="AG56" s="96"/>
    </row>
    <row r="57" spans="2:53" ht="18" customHeight="1" x14ac:dyDescent="0.25">
      <c r="B57" s="290"/>
      <c r="C57" s="291"/>
      <c r="D57" s="291"/>
      <c r="E57" s="291"/>
      <c r="F57" s="291"/>
      <c r="G57" s="291"/>
      <c r="H57" s="291"/>
      <c r="I57" s="291"/>
      <c r="J57" s="292"/>
      <c r="AD57" s="90"/>
      <c r="AE57" s="91"/>
      <c r="AF57" s="91"/>
      <c r="AG57" s="96"/>
    </row>
    <row r="58" spans="2:53" ht="18" customHeight="1" x14ac:dyDescent="0.25">
      <c r="B58" s="290"/>
      <c r="C58" s="291"/>
      <c r="D58" s="291"/>
      <c r="E58" s="291"/>
      <c r="F58" s="291"/>
      <c r="G58" s="291"/>
      <c r="H58" s="291"/>
      <c r="I58" s="291"/>
      <c r="J58" s="292"/>
      <c r="AD58" s="90"/>
      <c r="AE58" s="91"/>
      <c r="AF58" s="91"/>
      <c r="AG58" s="96"/>
    </row>
    <row r="59" spans="2:53" ht="31.5" customHeight="1" thickBot="1" x14ac:dyDescent="0.3">
      <c r="B59" s="293"/>
      <c r="C59" s="294"/>
      <c r="D59" s="294"/>
      <c r="E59" s="294"/>
      <c r="F59" s="294"/>
      <c r="G59" s="294"/>
      <c r="H59" s="294"/>
      <c r="I59" s="294"/>
      <c r="J59" s="295"/>
      <c r="AD59" s="90"/>
      <c r="AE59" s="91"/>
      <c r="AF59" s="91"/>
      <c r="AG59" s="96"/>
    </row>
    <row r="60" spans="2:53" ht="23.45" customHeight="1" x14ac:dyDescent="0.25">
      <c r="B60" s="53"/>
      <c r="C60" s="53"/>
      <c r="D60" s="53"/>
      <c r="E60" s="53"/>
      <c r="F60" s="54"/>
      <c r="G60" s="54"/>
      <c r="H60" s="54"/>
      <c r="I60" s="54"/>
      <c r="J60" s="54"/>
      <c r="AD60" s="90"/>
      <c r="AE60" s="91"/>
      <c r="AF60" s="91"/>
      <c r="AG60" s="96"/>
    </row>
    <row r="61" spans="2:53" ht="23.45" hidden="1" customHeight="1" x14ac:dyDescent="0.25">
      <c r="B61" s="53"/>
      <c r="C61" s="53"/>
      <c r="D61" s="53"/>
      <c r="E61" s="53"/>
      <c r="F61" s="54"/>
      <c r="G61" s="54"/>
      <c r="H61" s="54"/>
      <c r="I61" s="54"/>
      <c r="J61" s="54"/>
      <c r="AD61" s="90"/>
      <c r="AE61" s="91"/>
      <c r="AF61" s="91"/>
      <c r="AG61" s="96"/>
    </row>
    <row r="62" spans="2:53" ht="23.45" hidden="1" customHeight="1" x14ac:dyDescent="0.25">
      <c r="B62" s="55"/>
      <c r="C62" s="55"/>
      <c r="D62" s="55"/>
      <c r="E62" s="55"/>
      <c r="F62" s="106"/>
      <c r="G62" s="106"/>
      <c r="H62" s="107" t="str">
        <f>+H19</f>
        <v>PPO</v>
      </c>
      <c r="I62" s="107" t="str">
        <f>+I19</f>
        <v>ACO</v>
      </c>
      <c r="J62" s="107" t="str">
        <f>+J19</f>
        <v>HDHP</v>
      </c>
      <c r="AD62" s="90"/>
      <c r="AE62" s="91"/>
      <c r="AF62" s="91"/>
      <c r="AG62" s="96"/>
    </row>
    <row r="63" spans="2:53" ht="23.45" hidden="1" customHeight="1" x14ac:dyDescent="0.25">
      <c r="B63" s="56"/>
      <c r="C63" s="56"/>
      <c r="D63" s="56"/>
      <c r="E63" s="56"/>
      <c r="F63" s="108" t="s">
        <v>22</v>
      </c>
      <c r="G63" s="108"/>
      <c r="H63" s="109">
        <v>0</v>
      </c>
      <c r="I63" s="109">
        <v>0</v>
      </c>
      <c r="J63" s="109">
        <f>+B15*12</f>
        <v>360</v>
      </c>
      <c r="K63" s="59"/>
      <c r="AD63" s="96"/>
      <c r="AE63" s="96"/>
      <c r="AF63" s="96"/>
      <c r="AG63" s="96"/>
    </row>
    <row r="64" spans="2:53" ht="23.45" hidden="1" customHeight="1" x14ac:dyDescent="0.25">
      <c r="B64" s="56"/>
      <c r="C64" s="56"/>
      <c r="D64" s="56"/>
      <c r="E64" s="56"/>
      <c r="F64" s="108" t="s">
        <v>46</v>
      </c>
      <c r="G64" s="108"/>
      <c r="H64" s="109">
        <v>0</v>
      </c>
      <c r="I64" s="109">
        <v>0</v>
      </c>
      <c r="J64" s="109">
        <f>IF($B$10='Payroll Contributions'!$A$9,'Payroll Contributions'!E9,'Payroll Contributions'!E10)</f>
        <v>1380</v>
      </c>
      <c r="K64" s="59"/>
      <c r="AD64" s="88"/>
      <c r="AE64" s="89"/>
      <c r="AF64" s="89"/>
      <c r="AG64" s="96"/>
    </row>
    <row r="65" spans="2:33" ht="23.45" hidden="1" customHeight="1" x14ac:dyDescent="0.25">
      <c r="B65" s="56"/>
      <c r="C65" s="56"/>
      <c r="D65" s="56"/>
      <c r="E65" s="56"/>
      <c r="F65" s="108"/>
      <c r="G65" s="108"/>
      <c r="H65" s="110"/>
      <c r="I65" s="110"/>
      <c r="J65" s="110"/>
      <c r="AD65" s="88"/>
      <c r="AE65" s="89"/>
      <c r="AF65" s="89"/>
      <c r="AG65" s="96"/>
    </row>
    <row r="66" spans="2:33" ht="23.45" hidden="1" customHeight="1" x14ac:dyDescent="0.25">
      <c r="B66" s="53"/>
      <c r="C66" s="53"/>
      <c r="D66" s="53"/>
      <c r="E66" s="53"/>
      <c r="F66" s="107" t="s">
        <v>13</v>
      </c>
      <c r="G66" s="107"/>
      <c r="H66" s="106"/>
      <c r="I66" s="106"/>
      <c r="J66" s="106"/>
      <c r="AD66" s="88"/>
      <c r="AE66" s="89"/>
      <c r="AF66" s="89"/>
      <c r="AG66" s="96"/>
    </row>
    <row r="67" spans="2:33" ht="23.45" hidden="1" customHeight="1" x14ac:dyDescent="0.25">
      <c r="B67" s="53"/>
      <c r="C67" s="53"/>
      <c r="D67" s="53"/>
      <c r="E67" s="53"/>
      <c r="F67" s="109">
        <f>+H49</f>
        <v>4154.4800000000005</v>
      </c>
      <c r="G67" s="109"/>
      <c r="H67" s="106" t="s">
        <v>67</v>
      </c>
      <c r="I67" s="106"/>
      <c r="J67" s="109"/>
      <c r="AD67" s="98"/>
      <c r="AE67" s="89"/>
      <c r="AF67" s="89"/>
      <c r="AG67" s="96"/>
    </row>
    <row r="68" spans="2:33" ht="23.45" hidden="1" customHeight="1" x14ac:dyDescent="0.25">
      <c r="B68" s="53"/>
      <c r="C68" s="53"/>
      <c r="D68" s="53"/>
      <c r="E68" s="53"/>
      <c r="F68" s="109">
        <f>+I49</f>
        <v>3832.09</v>
      </c>
      <c r="G68" s="109"/>
      <c r="H68" s="106" t="s">
        <v>68</v>
      </c>
      <c r="I68" s="106"/>
      <c r="J68" s="109"/>
      <c r="AD68" s="90"/>
      <c r="AE68" s="91"/>
      <c r="AF68" s="91"/>
      <c r="AG68" s="96"/>
    </row>
    <row r="69" spans="2:33" ht="23.45" hidden="1" customHeight="1" x14ac:dyDescent="0.25">
      <c r="B69" s="53"/>
      <c r="C69" s="53"/>
      <c r="D69" s="53"/>
      <c r="E69" s="53"/>
      <c r="F69" s="109">
        <f>+J49</f>
        <v>1204.6399999999994</v>
      </c>
      <c r="G69" s="109"/>
      <c r="H69" s="106" t="s">
        <v>17</v>
      </c>
      <c r="I69" s="106"/>
      <c r="J69" s="109"/>
      <c r="AD69" s="90"/>
      <c r="AE69" s="91"/>
      <c r="AF69" s="91"/>
      <c r="AG69" s="96"/>
    </row>
    <row r="70" spans="2:33" ht="23.45" hidden="1" customHeight="1" x14ac:dyDescent="0.25">
      <c r="B70" s="53"/>
      <c r="C70" s="53"/>
      <c r="D70" s="53"/>
      <c r="E70" s="53"/>
      <c r="F70" s="108"/>
      <c r="G70" s="108"/>
      <c r="H70" s="108"/>
      <c r="I70" s="108"/>
      <c r="J70" s="108"/>
      <c r="AD70" s="96"/>
      <c r="AE70" s="96"/>
      <c r="AF70" s="96"/>
      <c r="AG70" s="96"/>
    </row>
    <row r="71" spans="2:33" ht="23.45" hidden="1" customHeight="1" x14ac:dyDescent="0.25">
      <c r="B71" s="53"/>
      <c r="C71" s="53"/>
      <c r="D71" s="53"/>
      <c r="E71" s="53"/>
      <c r="F71" s="108" t="s">
        <v>14</v>
      </c>
      <c r="G71" s="108"/>
      <c r="H71" s="109">
        <f>MIN(F67:F69)</f>
        <v>1204.6399999999994</v>
      </c>
      <c r="I71" s="109"/>
      <c r="J71" s="108"/>
      <c r="AD71" s="96"/>
      <c r="AE71" s="96"/>
      <c r="AF71" s="96"/>
      <c r="AG71" s="96"/>
    </row>
    <row r="72" spans="2:33" ht="23.45" hidden="1" customHeight="1" x14ac:dyDescent="0.25">
      <c r="B72" s="53"/>
      <c r="C72" s="53"/>
      <c r="D72" s="53"/>
      <c r="E72" s="53"/>
      <c r="F72" s="108" t="s">
        <v>15</v>
      </c>
      <c r="G72" s="108"/>
      <c r="H72" s="108" t="str">
        <f>"Your Best Plan Option: "&amp;VLOOKUP(H71,F67:H69,3,FALSE)&amp;" Plan"</f>
        <v>Your Best Plan Option: HDHP Plan</v>
      </c>
      <c r="I72" s="108"/>
      <c r="J72" s="108"/>
      <c r="AD72" s="96"/>
      <c r="AE72" s="96"/>
      <c r="AF72" s="96"/>
      <c r="AG72" s="96"/>
    </row>
    <row r="73" spans="2:33" ht="23.45" hidden="1" customHeight="1" x14ac:dyDescent="0.25">
      <c r="B73" s="53"/>
      <c r="C73" s="53"/>
      <c r="D73" s="53"/>
      <c r="E73" s="53"/>
      <c r="F73" s="57"/>
      <c r="G73" s="57"/>
      <c r="H73" s="58"/>
      <c r="I73" s="58"/>
      <c r="J73" s="58"/>
      <c r="AD73" s="96"/>
      <c r="AE73" s="96"/>
      <c r="AF73" s="96"/>
      <c r="AG73" s="96"/>
    </row>
    <row r="74" spans="2:33" ht="23.45" hidden="1" customHeight="1" x14ac:dyDescent="0.25">
      <c r="B74" s="53"/>
      <c r="C74" s="53"/>
      <c r="D74" s="53"/>
      <c r="E74" s="53"/>
      <c r="F74" s="57"/>
      <c r="G74" s="57"/>
      <c r="H74" s="58"/>
      <c r="I74" s="58"/>
      <c r="J74" s="58"/>
      <c r="AD74" s="96"/>
      <c r="AE74" s="96"/>
      <c r="AF74" s="96"/>
      <c r="AG74" s="96"/>
    </row>
    <row r="75" spans="2:33" x14ac:dyDescent="0.25">
      <c r="B75" s="53"/>
      <c r="C75" s="53"/>
      <c r="D75" s="53"/>
      <c r="E75" s="53"/>
      <c r="F75" s="60"/>
      <c r="G75" s="60"/>
      <c r="H75" s="60"/>
      <c r="I75" s="60"/>
      <c r="J75" s="60"/>
    </row>
  </sheetData>
  <sheetProtection algorithmName="SHA-512" hashValue="iRaUlG5RIq5dd+BA7/WIjsT+5p9IGMPQtx6rJ4RokJilMel+W2cxPycz8Ycke80WKzobr84GFTi1TCDCZq0wKQ==" saltValue="/LU4I1GQz3XjeJMwxcdozA==" spinCount="100000" sheet="1" selectLockedCells="1"/>
  <protectedRanges>
    <protectedRange sqref="B22:E34 B10:E15" name="Range1"/>
  </protectedRanges>
  <mergeCells count="27">
    <mergeCell ref="B6:J6"/>
    <mergeCell ref="B55:J59"/>
    <mergeCell ref="AM10:AO10"/>
    <mergeCell ref="AQ10:AS10"/>
    <mergeCell ref="AU10:AW10"/>
    <mergeCell ref="B9:F9"/>
    <mergeCell ref="B12:E12"/>
    <mergeCell ref="B13:E13"/>
    <mergeCell ref="B14:E14"/>
    <mergeCell ref="B15:E15"/>
    <mergeCell ref="B21:E21"/>
    <mergeCell ref="AY10:BA10"/>
    <mergeCell ref="B53:J53"/>
    <mergeCell ref="BC10:BE10"/>
    <mergeCell ref="AJ20:AK20"/>
    <mergeCell ref="P17:S17"/>
    <mergeCell ref="T17:W17"/>
    <mergeCell ref="P19:S19"/>
    <mergeCell ref="T19:W19"/>
    <mergeCell ref="H18:J18"/>
    <mergeCell ref="B19:E19"/>
    <mergeCell ref="F19:F21"/>
    <mergeCell ref="H19:H21"/>
    <mergeCell ref="I19:I21"/>
    <mergeCell ref="J19:J21"/>
    <mergeCell ref="B10:E10"/>
    <mergeCell ref="B11:E11"/>
  </mergeCells>
  <conditionalFormatting sqref="C22:E34">
    <cfRule type="expression" dxfId="1" priority="3">
      <formula>$B$10="Employee"</formula>
    </cfRule>
  </conditionalFormatting>
  <conditionalFormatting sqref="D22:E34">
    <cfRule type="expression" dxfId="0" priority="2">
      <formula>$B$10="EE &amp; Spouse"</formula>
    </cfRule>
  </conditionalFormatting>
  <dataValidations count="1">
    <dataValidation type="decimal" allowBlank="1" showInputMessage="1" showErrorMessage="1" errorTitle="Amount Exceed IRS Limit" error="The monthly HSA contribution amount you entered exceeds the IRS Limit.  Please enter a lower amount. _x000a__x000a_Annual IRS Limits: $3,650 Individual / $7,300 Family_x000a_" sqref="B15:E15" xr:uid="{00000000-0002-0000-0000-000000000000}">
      <formula1>0</formula1>
      <formula2>Z4</formula2>
    </dataValidation>
  </dataValidations>
  <printOptions horizontalCentered="1"/>
  <pageMargins left="0.25" right="0.25" top="0.5" bottom="0.5" header="0.3" footer="0.3"/>
  <pageSetup scale="55" orientation="landscape" horizontalDpi="4294967295" verticalDpi="4294967295" r:id="rId1"/>
  <colBreaks count="1" manualBreakCount="1">
    <brk id="24" max="1048575" man="1"/>
  </colBreaks>
  <ignoredErrors>
    <ignoredError sqref="O22:W34" unlockedFormula="1"/>
    <ignoredError sqref="AT32:AU32 AX32:AZ32 AM32:AN32 AP32:AR32" formula="1"/>
    <ignoredError sqref="AU28:AV29 AU33:AV33 AU30:AU31" evalError="1"/>
    <ignoredError sqref="AV32" evalError="1"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'Payroll Contributions'!$A$3:$A$6</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N29"/>
  <sheetViews>
    <sheetView showGridLines="0" zoomScaleNormal="100" workbookViewId="0">
      <selection activeCell="F25" sqref="F25"/>
    </sheetView>
  </sheetViews>
  <sheetFormatPr defaultRowHeight="15" x14ac:dyDescent="0.25"/>
  <cols>
    <col min="1" max="1" width="4.28515625" customWidth="1"/>
    <col min="2" max="2" width="11.7109375" style="215" bestFit="1" customWidth="1"/>
    <col min="3" max="3" width="13.7109375" style="215" customWidth="1"/>
    <col min="4" max="4" width="7.7109375" style="215" customWidth="1"/>
    <col min="5" max="6" width="13.7109375" style="215" customWidth="1"/>
    <col min="7" max="7" width="7.7109375" style="215" customWidth="1"/>
    <col min="8" max="9" width="13.7109375" style="215" customWidth="1"/>
    <col min="10" max="10" width="7.7109375" style="215" customWidth="1"/>
    <col min="11" max="12" width="13.7109375" style="215" customWidth="1"/>
    <col min="13" max="13" width="7.7109375" style="215" customWidth="1"/>
    <col min="14" max="14" width="13.7109375" style="215" customWidth="1"/>
    <col min="15" max="15" width="19.28515625" customWidth="1"/>
  </cols>
  <sheetData>
    <row r="1" spans="2:14" ht="17.45" customHeight="1" x14ac:dyDescent="0.25">
      <c r="B1" s="311" t="s">
        <v>133</v>
      </c>
      <c r="C1" s="311"/>
      <c r="D1" s="311"/>
      <c r="E1" s="311"/>
      <c r="F1" s="311"/>
      <c r="G1" s="311"/>
      <c r="H1" s="311"/>
      <c r="I1" s="311"/>
      <c r="J1" s="311"/>
      <c r="K1" s="311"/>
      <c r="L1" s="311"/>
      <c r="M1" s="311"/>
      <c r="N1" s="311"/>
    </row>
    <row r="2" spans="2:14" ht="18" customHeight="1" x14ac:dyDescent="0.25">
      <c r="B2" s="312"/>
      <c r="C2" s="312"/>
      <c r="D2" s="312"/>
      <c r="E2" s="312"/>
      <c r="F2" s="312"/>
      <c r="G2" s="312"/>
      <c r="H2" s="312"/>
      <c r="I2" s="312"/>
      <c r="J2" s="312"/>
      <c r="K2" s="312"/>
      <c r="L2" s="312"/>
      <c r="M2" s="312"/>
      <c r="N2" s="312"/>
    </row>
    <row r="3" spans="2:14" ht="42" customHeight="1" x14ac:dyDescent="0.25">
      <c r="B3" s="219" t="s">
        <v>120</v>
      </c>
      <c r="C3" s="308" t="s">
        <v>121</v>
      </c>
      <c r="D3" s="309"/>
      <c r="E3" s="310"/>
      <c r="F3" s="308" t="s">
        <v>122</v>
      </c>
      <c r="G3" s="309"/>
      <c r="H3" s="310"/>
      <c r="I3" s="308" t="s">
        <v>123</v>
      </c>
      <c r="J3" s="309"/>
      <c r="K3" s="310"/>
      <c r="L3" s="308" t="s">
        <v>124</v>
      </c>
      <c r="M3" s="309"/>
      <c r="N3" s="310"/>
    </row>
    <row r="4" spans="2:14" ht="22.9" customHeight="1" x14ac:dyDescent="0.25">
      <c r="B4" s="220">
        <v>0.1</v>
      </c>
      <c r="C4" s="226">
        <v>0</v>
      </c>
      <c r="D4" s="223" t="s">
        <v>125</v>
      </c>
      <c r="E4" s="229">
        <v>10275</v>
      </c>
      <c r="F4" s="232">
        <v>0</v>
      </c>
      <c r="G4" s="233" t="s">
        <v>125</v>
      </c>
      <c r="H4" s="234">
        <v>20550</v>
      </c>
      <c r="I4" s="226">
        <v>0</v>
      </c>
      <c r="J4" s="223" t="s">
        <v>125</v>
      </c>
      <c r="K4" s="229">
        <v>10275</v>
      </c>
      <c r="L4" s="226">
        <v>0</v>
      </c>
      <c r="M4" s="241" t="s">
        <v>125</v>
      </c>
      <c r="N4" s="229">
        <v>14650</v>
      </c>
    </row>
    <row r="5" spans="2:14" ht="22.9" customHeight="1" x14ac:dyDescent="0.25">
      <c r="B5" s="221">
        <v>0.12</v>
      </c>
      <c r="C5" s="227">
        <v>10276</v>
      </c>
      <c r="D5" s="224" t="s">
        <v>125</v>
      </c>
      <c r="E5" s="230">
        <v>41775</v>
      </c>
      <c r="F5" s="235">
        <v>20551</v>
      </c>
      <c r="G5" s="236" t="s">
        <v>125</v>
      </c>
      <c r="H5" s="237">
        <v>83550</v>
      </c>
      <c r="I5" s="227">
        <v>10276</v>
      </c>
      <c r="J5" s="224" t="s">
        <v>125</v>
      </c>
      <c r="K5" s="230">
        <v>41775</v>
      </c>
      <c r="L5" s="227">
        <v>14651</v>
      </c>
      <c r="M5" s="242" t="s">
        <v>125</v>
      </c>
      <c r="N5" s="230">
        <v>55900</v>
      </c>
    </row>
    <row r="6" spans="2:14" ht="22.9" customHeight="1" x14ac:dyDescent="0.25">
      <c r="B6" s="221">
        <v>0.22</v>
      </c>
      <c r="C6" s="227">
        <v>41776</v>
      </c>
      <c r="D6" s="224" t="s">
        <v>125</v>
      </c>
      <c r="E6" s="230">
        <v>89075</v>
      </c>
      <c r="F6" s="235">
        <v>83551</v>
      </c>
      <c r="G6" s="236" t="s">
        <v>125</v>
      </c>
      <c r="H6" s="237">
        <v>178150</v>
      </c>
      <c r="I6" s="227">
        <v>41776</v>
      </c>
      <c r="J6" s="224" t="s">
        <v>125</v>
      </c>
      <c r="K6" s="230">
        <v>89075</v>
      </c>
      <c r="L6" s="227">
        <v>55901</v>
      </c>
      <c r="M6" s="242" t="s">
        <v>125</v>
      </c>
      <c r="N6" s="230">
        <v>89050</v>
      </c>
    </row>
    <row r="7" spans="2:14" ht="22.9" customHeight="1" x14ac:dyDescent="0.25">
      <c r="B7" s="221">
        <v>0.24</v>
      </c>
      <c r="C7" s="227">
        <v>89076</v>
      </c>
      <c r="D7" s="224" t="s">
        <v>125</v>
      </c>
      <c r="E7" s="230">
        <v>170050</v>
      </c>
      <c r="F7" s="235">
        <v>178151</v>
      </c>
      <c r="G7" s="236" t="s">
        <v>125</v>
      </c>
      <c r="H7" s="237">
        <v>340100</v>
      </c>
      <c r="I7" s="227">
        <v>89076</v>
      </c>
      <c r="J7" s="224" t="s">
        <v>125</v>
      </c>
      <c r="K7" s="230">
        <v>170050</v>
      </c>
      <c r="L7" s="227">
        <v>89051</v>
      </c>
      <c r="M7" s="242" t="s">
        <v>125</v>
      </c>
      <c r="N7" s="230">
        <v>170505</v>
      </c>
    </row>
    <row r="8" spans="2:14" ht="22.9" customHeight="1" x14ac:dyDescent="0.25">
      <c r="B8" s="221">
        <v>0.32</v>
      </c>
      <c r="C8" s="227">
        <v>170051</v>
      </c>
      <c r="D8" s="224" t="s">
        <v>125</v>
      </c>
      <c r="E8" s="230">
        <v>215950</v>
      </c>
      <c r="F8" s="235">
        <v>340101</v>
      </c>
      <c r="G8" s="236" t="s">
        <v>125</v>
      </c>
      <c r="H8" s="237">
        <v>431900</v>
      </c>
      <c r="I8" s="227">
        <v>170051</v>
      </c>
      <c r="J8" s="224" t="s">
        <v>125</v>
      </c>
      <c r="K8" s="230">
        <v>215950</v>
      </c>
      <c r="L8" s="227">
        <v>710051</v>
      </c>
      <c r="M8" s="242" t="s">
        <v>125</v>
      </c>
      <c r="N8" s="230">
        <v>215950</v>
      </c>
    </row>
    <row r="9" spans="2:14" ht="22.9" customHeight="1" x14ac:dyDescent="0.25">
      <c r="B9" s="221">
        <v>0.35</v>
      </c>
      <c r="C9" s="227">
        <v>215951</v>
      </c>
      <c r="D9" s="224" t="s">
        <v>125</v>
      </c>
      <c r="E9" s="230">
        <v>539900</v>
      </c>
      <c r="F9" s="235">
        <v>431901</v>
      </c>
      <c r="G9" s="236" t="s">
        <v>125</v>
      </c>
      <c r="H9" s="237">
        <v>647850</v>
      </c>
      <c r="I9" s="250">
        <v>215951</v>
      </c>
      <c r="J9" s="251" t="s">
        <v>125</v>
      </c>
      <c r="K9" s="252">
        <v>323925</v>
      </c>
      <c r="L9" s="227">
        <v>215951</v>
      </c>
      <c r="M9" s="242" t="s">
        <v>125</v>
      </c>
      <c r="N9" s="230">
        <v>539900</v>
      </c>
    </row>
    <row r="10" spans="2:14" ht="22.9" customHeight="1" x14ac:dyDescent="0.25">
      <c r="B10" s="222">
        <v>0.37</v>
      </c>
      <c r="C10" s="228">
        <v>539900</v>
      </c>
      <c r="D10" s="225" t="s">
        <v>125</v>
      </c>
      <c r="E10" s="231" t="s">
        <v>126</v>
      </c>
      <c r="F10" s="238">
        <v>647851</v>
      </c>
      <c r="G10" s="239" t="s">
        <v>125</v>
      </c>
      <c r="H10" s="240" t="s">
        <v>126</v>
      </c>
      <c r="I10" s="253">
        <v>323926</v>
      </c>
      <c r="J10" s="254" t="s">
        <v>125</v>
      </c>
      <c r="K10" s="255" t="s">
        <v>126</v>
      </c>
      <c r="L10" s="228">
        <v>539901</v>
      </c>
      <c r="M10" s="243" t="s">
        <v>125</v>
      </c>
      <c r="N10" s="231" t="s">
        <v>126</v>
      </c>
    </row>
    <row r="11" spans="2:14" ht="18" customHeight="1" x14ac:dyDescent="0.3">
      <c r="B11" s="218"/>
      <c r="C11" s="218"/>
      <c r="D11" s="218"/>
      <c r="E11" s="218"/>
      <c r="F11" s="218"/>
    </row>
    <row r="12" spans="2:14" ht="18" customHeight="1" x14ac:dyDescent="0.25"/>
    <row r="13" spans="2:14" ht="18" customHeight="1" x14ac:dyDescent="0.25"/>
    <row r="14" spans="2:14" ht="18" customHeight="1" x14ac:dyDescent="0.25"/>
    <row r="28" spans="4:4" x14ac:dyDescent="0.25">
      <c r="D28" s="216"/>
    </row>
    <row r="29" spans="4:4" ht="18" x14ac:dyDescent="0.25">
      <c r="D29" s="217"/>
    </row>
  </sheetData>
  <sheetProtection algorithmName="SHA-512" hashValue="LLmtLDGr+NCNQ5qE+6BJ22yqU5fOyi9PyUeoRiqyy+coIO/Epdy5kbkltuo1a99Kmd8aUWszzdEMX8ftAg+ifg==" saltValue="aSJm7UTFwhBlnf+HcWhsqg==" spinCount="100000" sheet="1" selectLockedCells="1" selectUnlockedCells="1"/>
  <mergeCells count="5">
    <mergeCell ref="L3:N3"/>
    <mergeCell ref="B1:N2"/>
    <mergeCell ref="C3:E3"/>
    <mergeCell ref="F3:H3"/>
    <mergeCell ref="I3:K3"/>
  </mergeCells>
  <pageMargins left="0.25" right="0.25" top="0.75" bottom="0.75" header="0.3" footer="0.3"/>
  <pageSetup scale="77"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36"/>
  <sheetViews>
    <sheetView showGridLines="0" zoomScale="90" zoomScaleNormal="90" workbookViewId="0">
      <selection activeCell="N16" sqref="N16"/>
    </sheetView>
  </sheetViews>
  <sheetFormatPr defaultRowHeight="15" x14ac:dyDescent="0.25"/>
  <cols>
    <col min="1" max="1" width="40.7109375" customWidth="1"/>
    <col min="2" max="2" width="7.5703125" hidden="1" customWidth="1"/>
    <col min="3" max="3" width="8.7109375" hidden="1" customWidth="1"/>
    <col min="4" max="4" width="11.28515625" hidden="1" customWidth="1"/>
    <col min="5" max="5" width="2" hidden="1" customWidth="1"/>
    <col min="6" max="6" width="7.42578125" hidden="1" customWidth="1"/>
    <col min="7" max="7" width="8.7109375" hidden="1" customWidth="1"/>
    <col min="8" max="8" width="11.28515625" hidden="1" customWidth="1"/>
    <col min="9" max="9" width="1.5703125" hidden="1" customWidth="1"/>
    <col min="10" max="12" width="18.28515625" customWidth="1"/>
    <col min="13" max="13" width="8.85546875" style="1"/>
    <col min="14" max="14" width="11" customWidth="1"/>
    <col min="15" max="15" width="45.42578125" customWidth="1"/>
    <col min="255" max="255" width="40.7109375" customWidth="1"/>
    <col min="256" max="258" width="13.7109375" customWidth="1"/>
    <col min="259" max="259" width="6.7109375" customWidth="1"/>
    <col min="260" max="262" width="13.7109375" customWidth="1"/>
    <col min="263" max="263" width="6.7109375" customWidth="1"/>
    <col min="264" max="266" width="13.7109375" customWidth="1"/>
    <col min="511" max="511" width="40.7109375" customWidth="1"/>
    <col min="512" max="514" width="13.7109375" customWidth="1"/>
    <col min="515" max="515" width="6.7109375" customWidth="1"/>
    <col min="516" max="518" width="13.7109375" customWidth="1"/>
    <col min="519" max="519" width="6.7109375" customWidth="1"/>
    <col min="520" max="522" width="13.7109375" customWidth="1"/>
    <col min="767" max="767" width="40.7109375" customWidth="1"/>
    <col min="768" max="770" width="13.7109375" customWidth="1"/>
    <col min="771" max="771" width="6.7109375" customWidth="1"/>
    <col min="772" max="774" width="13.7109375" customWidth="1"/>
    <col min="775" max="775" width="6.7109375" customWidth="1"/>
    <col min="776" max="778" width="13.7109375" customWidth="1"/>
    <col min="1023" max="1023" width="40.7109375" customWidth="1"/>
    <col min="1024" max="1026" width="13.7109375" customWidth="1"/>
    <col min="1027" max="1027" width="6.7109375" customWidth="1"/>
    <col min="1028" max="1030" width="13.7109375" customWidth="1"/>
    <col min="1031" max="1031" width="6.7109375" customWidth="1"/>
    <col min="1032" max="1034" width="13.7109375" customWidth="1"/>
    <col min="1279" max="1279" width="40.7109375" customWidth="1"/>
    <col min="1280" max="1282" width="13.7109375" customWidth="1"/>
    <col min="1283" max="1283" width="6.7109375" customWidth="1"/>
    <col min="1284" max="1286" width="13.7109375" customWidth="1"/>
    <col min="1287" max="1287" width="6.7109375" customWidth="1"/>
    <col min="1288" max="1290" width="13.7109375" customWidth="1"/>
    <col min="1535" max="1535" width="40.7109375" customWidth="1"/>
    <col min="1536" max="1538" width="13.7109375" customWidth="1"/>
    <col min="1539" max="1539" width="6.7109375" customWidth="1"/>
    <col min="1540" max="1542" width="13.7109375" customWidth="1"/>
    <col min="1543" max="1543" width="6.7109375" customWidth="1"/>
    <col min="1544" max="1546" width="13.7109375" customWidth="1"/>
    <col min="1791" max="1791" width="40.7109375" customWidth="1"/>
    <col min="1792" max="1794" width="13.7109375" customWidth="1"/>
    <col min="1795" max="1795" width="6.7109375" customWidth="1"/>
    <col min="1796" max="1798" width="13.7109375" customWidth="1"/>
    <col min="1799" max="1799" width="6.7109375" customWidth="1"/>
    <col min="1800" max="1802" width="13.7109375" customWidth="1"/>
    <col min="2047" max="2047" width="40.7109375" customWidth="1"/>
    <col min="2048" max="2050" width="13.7109375" customWidth="1"/>
    <col min="2051" max="2051" width="6.7109375" customWidth="1"/>
    <col min="2052" max="2054" width="13.7109375" customWidth="1"/>
    <col min="2055" max="2055" width="6.7109375" customWidth="1"/>
    <col min="2056" max="2058" width="13.7109375" customWidth="1"/>
    <col min="2303" max="2303" width="40.7109375" customWidth="1"/>
    <col min="2304" max="2306" width="13.7109375" customWidth="1"/>
    <col min="2307" max="2307" width="6.7109375" customWidth="1"/>
    <col min="2308" max="2310" width="13.7109375" customWidth="1"/>
    <col min="2311" max="2311" width="6.7109375" customWidth="1"/>
    <col min="2312" max="2314" width="13.7109375" customWidth="1"/>
    <col min="2559" max="2559" width="40.7109375" customWidth="1"/>
    <col min="2560" max="2562" width="13.7109375" customWidth="1"/>
    <col min="2563" max="2563" width="6.7109375" customWidth="1"/>
    <col min="2564" max="2566" width="13.7109375" customWidth="1"/>
    <col min="2567" max="2567" width="6.7109375" customWidth="1"/>
    <col min="2568" max="2570" width="13.7109375" customWidth="1"/>
    <col min="2815" max="2815" width="40.7109375" customWidth="1"/>
    <col min="2816" max="2818" width="13.7109375" customWidth="1"/>
    <col min="2819" max="2819" width="6.7109375" customWidth="1"/>
    <col min="2820" max="2822" width="13.7109375" customWidth="1"/>
    <col min="2823" max="2823" width="6.7109375" customWidth="1"/>
    <col min="2824" max="2826" width="13.7109375" customWidth="1"/>
    <col min="3071" max="3071" width="40.7109375" customWidth="1"/>
    <col min="3072" max="3074" width="13.7109375" customWidth="1"/>
    <col min="3075" max="3075" width="6.7109375" customWidth="1"/>
    <col min="3076" max="3078" width="13.7109375" customWidth="1"/>
    <col min="3079" max="3079" width="6.7109375" customWidth="1"/>
    <col min="3080" max="3082" width="13.7109375" customWidth="1"/>
    <col min="3327" max="3327" width="40.7109375" customWidth="1"/>
    <col min="3328" max="3330" width="13.7109375" customWidth="1"/>
    <col min="3331" max="3331" width="6.7109375" customWidth="1"/>
    <col min="3332" max="3334" width="13.7109375" customWidth="1"/>
    <col min="3335" max="3335" width="6.7109375" customWidth="1"/>
    <col min="3336" max="3338" width="13.7109375" customWidth="1"/>
    <col min="3583" max="3583" width="40.7109375" customWidth="1"/>
    <col min="3584" max="3586" width="13.7109375" customWidth="1"/>
    <col min="3587" max="3587" width="6.7109375" customWidth="1"/>
    <col min="3588" max="3590" width="13.7109375" customWidth="1"/>
    <col min="3591" max="3591" width="6.7109375" customWidth="1"/>
    <col min="3592" max="3594" width="13.7109375" customWidth="1"/>
    <col min="3839" max="3839" width="40.7109375" customWidth="1"/>
    <col min="3840" max="3842" width="13.7109375" customWidth="1"/>
    <col min="3843" max="3843" width="6.7109375" customWidth="1"/>
    <col min="3844" max="3846" width="13.7109375" customWidth="1"/>
    <col min="3847" max="3847" width="6.7109375" customWidth="1"/>
    <col min="3848" max="3850" width="13.7109375" customWidth="1"/>
    <col min="4095" max="4095" width="40.7109375" customWidth="1"/>
    <col min="4096" max="4098" width="13.7109375" customWidth="1"/>
    <col min="4099" max="4099" width="6.7109375" customWidth="1"/>
    <col min="4100" max="4102" width="13.7109375" customWidth="1"/>
    <col min="4103" max="4103" width="6.7109375" customWidth="1"/>
    <col min="4104" max="4106" width="13.7109375" customWidth="1"/>
    <col min="4351" max="4351" width="40.7109375" customWidth="1"/>
    <col min="4352" max="4354" width="13.7109375" customWidth="1"/>
    <col min="4355" max="4355" width="6.7109375" customWidth="1"/>
    <col min="4356" max="4358" width="13.7109375" customWidth="1"/>
    <col min="4359" max="4359" width="6.7109375" customWidth="1"/>
    <col min="4360" max="4362" width="13.7109375" customWidth="1"/>
    <col min="4607" max="4607" width="40.7109375" customWidth="1"/>
    <col min="4608" max="4610" width="13.7109375" customWidth="1"/>
    <col min="4611" max="4611" width="6.7109375" customWidth="1"/>
    <col min="4612" max="4614" width="13.7109375" customWidth="1"/>
    <col min="4615" max="4615" width="6.7109375" customWidth="1"/>
    <col min="4616" max="4618" width="13.7109375" customWidth="1"/>
    <col min="4863" max="4863" width="40.7109375" customWidth="1"/>
    <col min="4864" max="4866" width="13.7109375" customWidth="1"/>
    <col min="4867" max="4867" width="6.7109375" customWidth="1"/>
    <col min="4868" max="4870" width="13.7109375" customWidth="1"/>
    <col min="4871" max="4871" width="6.7109375" customWidth="1"/>
    <col min="4872" max="4874" width="13.7109375" customWidth="1"/>
    <col min="5119" max="5119" width="40.7109375" customWidth="1"/>
    <col min="5120" max="5122" width="13.7109375" customWidth="1"/>
    <col min="5123" max="5123" width="6.7109375" customWidth="1"/>
    <col min="5124" max="5126" width="13.7109375" customWidth="1"/>
    <col min="5127" max="5127" width="6.7109375" customWidth="1"/>
    <col min="5128" max="5130" width="13.7109375" customWidth="1"/>
    <col min="5375" max="5375" width="40.7109375" customWidth="1"/>
    <col min="5376" max="5378" width="13.7109375" customWidth="1"/>
    <col min="5379" max="5379" width="6.7109375" customWidth="1"/>
    <col min="5380" max="5382" width="13.7109375" customWidth="1"/>
    <col min="5383" max="5383" width="6.7109375" customWidth="1"/>
    <col min="5384" max="5386" width="13.7109375" customWidth="1"/>
    <col min="5631" max="5631" width="40.7109375" customWidth="1"/>
    <col min="5632" max="5634" width="13.7109375" customWidth="1"/>
    <col min="5635" max="5635" width="6.7109375" customWidth="1"/>
    <col min="5636" max="5638" width="13.7109375" customWidth="1"/>
    <col min="5639" max="5639" width="6.7109375" customWidth="1"/>
    <col min="5640" max="5642" width="13.7109375" customWidth="1"/>
    <col min="5887" max="5887" width="40.7109375" customWidth="1"/>
    <col min="5888" max="5890" width="13.7109375" customWidth="1"/>
    <col min="5891" max="5891" width="6.7109375" customWidth="1"/>
    <col min="5892" max="5894" width="13.7109375" customWidth="1"/>
    <col min="5895" max="5895" width="6.7109375" customWidth="1"/>
    <col min="5896" max="5898" width="13.7109375" customWidth="1"/>
    <col min="6143" max="6143" width="40.7109375" customWidth="1"/>
    <col min="6144" max="6146" width="13.7109375" customWidth="1"/>
    <col min="6147" max="6147" width="6.7109375" customWidth="1"/>
    <col min="6148" max="6150" width="13.7109375" customWidth="1"/>
    <col min="6151" max="6151" width="6.7109375" customWidth="1"/>
    <col min="6152" max="6154" width="13.7109375" customWidth="1"/>
    <col min="6399" max="6399" width="40.7109375" customWidth="1"/>
    <col min="6400" max="6402" width="13.7109375" customWidth="1"/>
    <col min="6403" max="6403" width="6.7109375" customWidth="1"/>
    <col min="6404" max="6406" width="13.7109375" customWidth="1"/>
    <col min="6407" max="6407" width="6.7109375" customWidth="1"/>
    <col min="6408" max="6410" width="13.7109375" customWidth="1"/>
    <col min="6655" max="6655" width="40.7109375" customWidth="1"/>
    <col min="6656" max="6658" width="13.7109375" customWidth="1"/>
    <col min="6659" max="6659" width="6.7109375" customWidth="1"/>
    <col min="6660" max="6662" width="13.7109375" customWidth="1"/>
    <col min="6663" max="6663" width="6.7109375" customWidth="1"/>
    <col min="6664" max="6666" width="13.7109375" customWidth="1"/>
    <col min="6911" max="6911" width="40.7109375" customWidth="1"/>
    <col min="6912" max="6914" width="13.7109375" customWidth="1"/>
    <col min="6915" max="6915" width="6.7109375" customWidth="1"/>
    <col min="6916" max="6918" width="13.7109375" customWidth="1"/>
    <col min="6919" max="6919" width="6.7109375" customWidth="1"/>
    <col min="6920" max="6922" width="13.7109375" customWidth="1"/>
    <col min="7167" max="7167" width="40.7109375" customWidth="1"/>
    <col min="7168" max="7170" width="13.7109375" customWidth="1"/>
    <col min="7171" max="7171" width="6.7109375" customWidth="1"/>
    <col min="7172" max="7174" width="13.7109375" customWidth="1"/>
    <col min="7175" max="7175" width="6.7109375" customWidth="1"/>
    <col min="7176" max="7178" width="13.7109375" customWidth="1"/>
    <col min="7423" max="7423" width="40.7109375" customWidth="1"/>
    <col min="7424" max="7426" width="13.7109375" customWidth="1"/>
    <col min="7427" max="7427" width="6.7109375" customWidth="1"/>
    <col min="7428" max="7430" width="13.7109375" customWidth="1"/>
    <col min="7431" max="7431" width="6.7109375" customWidth="1"/>
    <col min="7432" max="7434" width="13.7109375" customWidth="1"/>
    <col min="7679" max="7679" width="40.7109375" customWidth="1"/>
    <col min="7680" max="7682" width="13.7109375" customWidth="1"/>
    <col min="7683" max="7683" width="6.7109375" customWidth="1"/>
    <col min="7684" max="7686" width="13.7109375" customWidth="1"/>
    <col min="7687" max="7687" width="6.7109375" customWidth="1"/>
    <col min="7688" max="7690" width="13.7109375" customWidth="1"/>
    <col min="7935" max="7935" width="40.7109375" customWidth="1"/>
    <col min="7936" max="7938" width="13.7109375" customWidth="1"/>
    <col min="7939" max="7939" width="6.7109375" customWidth="1"/>
    <col min="7940" max="7942" width="13.7109375" customWidth="1"/>
    <col min="7943" max="7943" width="6.7109375" customWidth="1"/>
    <col min="7944" max="7946" width="13.7109375" customWidth="1"/>
    <col min="8191" max="8191" width="40.7109375" customWidth="1"/>
    <col min="8192" max="8194" width="13.7109375" customWidth="1"/>
    <col min="8195" max="8195" width="6.7109375" customWidth="1"/>
    <col min="8196" max="8198" width="13.7109375" customWidth="1"/>
    <col min="8199" max="8199" width="6.7109375" customWidth="1"/>
    <col min="8200" max="8202" width="13.7109375" customWidth="1"/>
    <col min="8447" max="8447" width="40.7109375" customWidth="1"/>
    <col min="8448" max="8450" width="13.7109375" customWidth="1"/>
    <col min="8451" max="8451" width="6.7109375" customWidth="1"/>
    <col min="8452" max="8454" width="13.7109375" customWidth="1"/>
    <col min="8455" max="8455" width="6.7109375" customWidth="1"/>
    <col min="8456" max="8458" width="13.7109375" customWidth="1"/>
    <col min="8703" max="8703" width="40.7109375" customWidth="1"/>
    <col min="8704" max="8706" width="13.7109375" customWidth="1"/>
    <col min="8707" max="8707" width="6.7109375" customWidth="1"/>
    <col min="8708" max="8710" width="13.7109375" customWidth="1"/>
    <col min="8711" max="8711" width="6.7109375" customWidth="1"/>
    <col min="8712" max="8714" width="13.7109375" customWidth="1"/>
    <col min="8959" max="8959" width="40.7109375" customWidth="1"/>
    <col min="8960" max="8962" width="13.7109375" customWidth="1"/>
    <col min="8963" max="8963" width="6.7109375" customWidth="1"/>
    <col min="8964" max="8966" width="13.7109375" customWidth="1"/>
    <col min="8967" max="8967" width="6.7109375" customWidth="1"/>
    <col min="8968" max="8970" width="13.7109375" customWidth="1"/>
    <col min="9215" max="9215" width="40.7109375" customWidth="1"/>
    <col min="9216" max="9218" width="13.7109375" customWidth="1"/>
    <col min="9219" max="9219" width="6.7109375" customWidth="1"/>
    <col min="9220" max="9222" width="13.7109375" customWidth="1"/>
    <col min="9223" max="9223" width="6.7109375" customWidth="1"/>
    <col min="9224" max="9226" width="13.7109375" customWidth="1"/>
    <col min="9471" max="9471" width="40.7109375" customWidth="1"/>
    <col min="9472" max="9474" width="13.7109375" customWidth="1"/>
    <col min="9475" max="9475" width="6.7109375" customWidth="1"/>
    <col min="9476" max="9478" width="13.7109375" customWidth="1"/>
    <col min="9479" max="9479" width="6.7109375" customWidth="1"/>
    <col min="9480" max="9482" width="13.7109375" customWidth="1"/>
    <col min="9727" max="9727" width="40.7109375" customWidth="1"/>
    <col min="9728" max="9730" width="13.7109375" customWidth="1"/>
    <col min="9731" max="9731" width="6.7109375" customWidth="1"/>
    <col min="9732" max="9734" width="13.7109375" customWidth="1"/>
    <col min="9735" max="9735" width="6.7109375" customWidth="1"/>
    <col min="9736" max="9738" width="13.7109375" customWidth="1"/>
    <col min="9983" max="9983" width="40.7109375" customWidth="1"/>
    <col min="9984" max="9986" width="13.7109375" customWidth="1"/>
    <col min="9987" max="9987" width="6.7109375" customWidth="1"/>
    <col min="9988" max="9990" width="13.7109375" customWidth="1"/>
    <col min="9991" max="9991" width="6.7109375" customWidth="1"/>
    <col min="9992" max="9994" width="13.7109375" customWidth="1"/>
    <col min="10239" max="10239" width="40.7109375" customWidth="1"/>
    <col min="10240" max="10242" width="13.7109375" customWidth="1"/>
    <col min="10243" max="10243" width="6.7109375" customWidth="1"/>
    <col min="10244" max="10246" width="13.7109375" customWidth="1"/>
    <col min="10247" max="10247" width="6.7109375" customWidth="1"/>
    <col min="10248" max="10250" width="13.7109375" customWidth="1"/>
    <col min="10495" max="10495" width="40.7109375" customWidth="1"/>
    <col min="10496" max="10498" width="13.7109375" customWidth="1"/>
    <col min="10499" max="10499" width="6.7109375" customWidth="1"/>
    <col min="10500" max="10502" width="13.7109375" customWidth="1"/>
    <col min="10503" max="10503" width="6.7109375" customWidth="1"/>
    <col min="10504" max="10506" width="13.7109375" customWidth="1"/>
    <col min="10751" max="10751" width="40.7109375" customWidth="1"/>
    <col min="10752" max="10754" width="13.7109375" customWidth="1"/>
    <col min="10755" max="10755" width="6.7109375" customWidth="1"/>
    <col min="10756" max="10758" width="13.7109375" customWidth="1"/>
    <col min="10759" max="10759" width="6.7109375" customWidth="1"/>
    <col min="10760" max="10762" width="13.7109375" customWidth="1"/>
    <col min="11007" max="11007" width="40.7109375" customWidth="1"/>
    <col min="11008" max="11010" width="13.7109375" customWidth="1"/>
    <col min="11011" max="11011" width="6.7109375" customWidth="1"/>
    <col min="11012" max="11014" width="13.7109375" customWidth="1"/>
    <col min="11015" max="11015" width="6.7109375" customWidth="1"/>
    <col min="11016" max="11018" width="13.7109375" customWidth="1"/>
    <col min="11263" max="11263" width="40.7109375" customWidth="1"/>
    <col min="11264" max="11266" width="13.7109375" customWidth="1"/>
    <col min="11267" max="11267" width="6.7109375" customWidth="1"/>
    <col min="11268" max="11270" width="13.7109375" customWidth="1"/>
    <col min="11271" max="11271" width="6.7109375" customWidth="1"/>
    <col min="11272" max="11274" width="13.7109375" customWidth="1"/>
    <col min="11519" max="11519" width="40.7109375" customWidth="1"/>
    <col min="11520" max="11522" width="13.7109375" customWidth="1"/>
    <col min="11523" max="11523" width="6.7109375" customWidth="1"/>
    <col min="11524" max="11526" width="13.7109375" customWidth="1"/>
    <col min="11527" max="11527" width="6.7109375" customWidth="1"/>
    <col min="11528" max="11530" width="13.7109375" customWidth="1"/>
    <col min="11775" max="11775" width="40.7109375" customWidth="1"/>
    <col min="11776" max="11778" width="13.7109375" customWidth="1"/>
    <col min="11779" max="11779" width="6.7109375" customWidth="1"/>
    <col min="11780" max="11782" width="13.7109375" customWidth="1"/>
    <col min="11783" max="11783" width="6.7109375" customWidth="1"/>
    <col min="11784" max="11786" width="13.7109375" customWidth="1"/>
    <col min="12031" max="12031" width="40.7109375" customWidth="1"/>
    <col min="12032" max="12034" width="13.7109375" customWidth="1"/>
    <col min="12035" max="12035" width="6.7109375" customWidth="1"/>
    <col min="12036" max="12038" width="13.7109375" customWidth="1"/>
    <col min="12039" max="12039" width="6.7109375" customWidth="1"/>
    <col min="12040" max="12042" width="13.7109375" customWidth="1"/>
    <col min="12287" max="12287" width="40.7109375" customWidth="1"/>
    <col min="12288" max="12290" width="13.7109375" customWidth="1"/>
    <col min="12291" max="12291" width="6.7109375" customWidth="1"/>
    <col min="12292" max="12294" width="13.7109375" customWidth="1"/>
    <col min="12295" max="12295" width="6.7109375" customWidth="1"/>
    <col min="12296" max="12298" width="13.7109375" customWidth="1"/>
    <col min="12543" max="12543" width="40.7109375" customWidth="1"/>
    <col min="12544" max="12546" width="13.7109375" customWidth="1"/>
    <col min="12547" max="12547" width="6.7109375" customWidth="1"/>
    <col min="12548" max="12550" width="13.7109375" customWidth="1"/>
    <col min="12551" max="12551" width="6.7109375" customWidth="1"/>
    <col min="12552" max="12554" width="13.7109375" customWidth="1"/>
    <col min="12799" max="12799" width="40.7109375" customWidth="1"/>
    <col min="12800" max="12802" width="13.7109375" customWidth="1"/>
    <col min="12803" max="12803" width="6.7109375" customWidth="1"/>
    <col min="12804" max="12806" width="13.7109375" customWidth="1"/>
    <col min="12807" max="12807" width="6.7109375" customWidth="1"/>
    <col min="12808" max="12810" width="13.7109375" customWidth="1"/>
    <col min="13055" max="13055" width="40.7109375" customWidth="1"/>
    <col min="13056" max="13058" width="13.7109375" customWidth="1"/>
    <col min="13059" max="13059" width="6.7109375" customWidth="1"/>
    <col min="13060" max="13062" width="13.7109375" customWidth="1"/>
    <col min="13063" max="13063" width="6.7109375" customWidth="1"/>
    <col min="13064" max="13066" width="13.7109375" customWidth="1"/>
    <col min="13311" max="13311" width="40.7109375" customWidth="1"/>
    <col min="13312" max="13314" width="13.7109375" customWidth="1"/>
    <col min="13315" max="13315" width="6.7109375" customWidth="1"/>
    <col min="13316" max="13318" width="13.7109375" customWidth="1"/>
    <col min="13319" max="13319" width="6.7109375" customWidth="1"/>
    <col min="13320" max="13322" width="13.7109375" customWidth="1"/>
    <col min="13567" max="13567" width="40.7109375" customWidth="1"/>
    <col min="13568" max="13570" width="13.7109375" customWidth="1"/>
    <col min="13571" max="13571" width="6.7109375" customWidth="1"/>
    <col min="13572" max="13574" width="13.7109375" customWidth="1"/>
    <col min="13575" max="13575" width="6.7109375" customWidth="1"/>
    <col min="13576" max="13578" width="13.7109375" customWidth="1"/>
    <col min="13823" max="13823" width="40.7109375" customWidth="1"/>
    <col min="13824" max="13826" width="13.7109375" customWidth="1"/>
    <col min="13827" max="13827" width="6.7109375" customWidth="1"/>
    <col min="13828" max="13830" width="13.7109375" customWidth="1"/>
    <col min="13831" max="13831" width="6.7109375" customWidth="1"/>
    <col min="13832" max="13834" width="13.7109375" customWidth="1"/>
    <col min="14079" max="14079" width="40.7109375" customWidth="1"/>
    <col min="14080" max="14082" width="13.7109375" customWidth="1"/>
    <col min="14083" max="14083" width="6.7109375" customWidth="1"/>
    <col min="14084" max="14086" width="13.7109375" customWidth="1"/>
    <col min="14087" max="14087" width="6.7109375" customWidth="1"/>
    <col min="14088" max="14090" width="13.7109375" customWidth="1"/>
    <col min="14335" max="14335" width="40.7109375" customWidth="1"/>
    <col min="14336" max="14338" width="13.7109375" customWidth="1"/>
    <col min="14339" max="14339" width="6.7109375" customWidth="1"/>
    <col min="14340" max="14342" width="13.7109375" customWidth="1"/>
    <col min="14343" max="14343" width="6.7109375" customWidth="1"/>
    <col min="14344" max="14346" width="13.7109375" customWidth="1"/>
    <col min="14591" max="14591" width="40.7109375" customWidth="1"/>
    <col min="14592" max="14594" width="13.7109375" customWidth="1"/>
    <col min="14595" max="14595" width="6.7109375" customWidth="1"/>
    <col min="14596" max="14598" width="13.7109375" customWidth="1"/>
    <col min="14599" max="14599" width="6.7109375" customWidth="1"/>
    <col min="14600" max="14602" width="13.7109375" customWidth="1"/>
    <col min="14847" max="14847" width="40.7109375" customWidth="1"/>
    <col min="14848" max="14850" width="13.7109375" customWidth="1"/>
    <col min="14851" max="14851" width="6.7109375" customWidth="1"/>
    <col min="14852" max="14854" width="13.7109375" customWidth="1"/>
    <col min="14855" max="14855" width="6.7109375" customWidth="1"/>
    <col min="14856" max="14858" width="13.7109375" customWidth="1"/>
    <col min="15103" max="15103" width="40.7109375" customWidth="1"/>
    <col min="15104" max="15106" width="13.7109375" customWidth="1"/>
    <col min="15107" max="15107" width="6.7109375" customWidth="1"/>
    <col min="15108" max="15110" width="13.7109375" customWidth="1"/>
    <col min="15111" max="15111" width="6.7109375" customWidth="1"/>
    <col min="15112" max="15114" width="13.7109375" customWidth="1"/>
    <col min="15359" max="15359" width="40.7109375" customWidth="1"/>
    <col min="15360" max="15362" width="13.7109375" customWidth="1"/>
    <col min="15363" max="15363" width="6.7109375" customWidth="1"/>
    <col min="15364" max="15366" width="13.7109375" customWidth="1"/>
    <col min="15367" max="15367" width="6.7109375" customWidth="1"/>
    <col min="15368" max="15370" width="13.7109375" customWidth="1"/>
    <col min="15615" max="15615" width="40.7109375" customWidth="1"/>
    <col min="15616" max="15618" width="13.7109375" customWidth="1"/>
    <col min="15619" max="15619" width="6.7109375" customWidth="1"/>
    <col min="15620" max="15622" width="13.7109375" customWidth="1"/>
    <col min="15623" max="15623" width="6.7109375" customWidth="1"/>
    <col min="15624" max="15626" width="13.7109375" customWidth="1"/>
    <col min="15871" max="15871" width="40.7109375" customWidth="1"/>
    <col min="15872" max="15874" width="13.7109375" customWidth="1"/>
    <col min="15875" max="15875" width="6.7109375" customWidth="1"/>
    <col min="15876" max="15878" width="13.7109375" customWidth="1"/>
    <col min="15879" max="15879" width="6.7109375" customWidth="1"/>
    <col min="15880" max="15882" width="13.7109375" customWidth="1"/>
    <col min="16127" max="16127" width="40.7109375" customWidth="1"/>
    <col min="16128" max="16130" width="13.7109375" customWidth="1"/>
    <col min="16131" max="16131" width="6.7109375" customWidth="1"/>
    <col min="16132" max="16134" width="13.7109375" customWidth="1"/>
    <col min="16135" max="16135" width="6.7109375" customWidth="1"/>
    <col min="16136" max="16138" width="13.7109375" customWidth="1"/>
  </cols>
  <sheetData>
    <row r="1" spans="1:15" ht="15.75" x14ac:dyDescent="0.25">
      <c r="A1" s="313" t="s">
        <v>130</v>
      </c>
      <c r="B1" s="313"/>
      <c r="C1" s="313"/>
      <c r="D1" s="313"/>
      <c r="E1" s="313"/>
      <c r="F1" s="313"/>
      <c r="G1" s="313"/>
      <c r="H1" s="313"/>
      <c r="I1" s="313"/>
      <c r="J1" s="313"/>
      <c r="K1" s="313"/>
      <c r="L1" s="313"/>
      <c r="M1" s="313"/>
      <c r="N1" s="256" t="s">
        <v>132</v>
      </c>
      <c r="O1" s="257"/>
    </row>
    <row r="2" spans="1:15" ht="15.75" x14ac:dyDescent="0.25">
      <c r="A2" s="314" t="s">
        <v>131</v>
      </c>
      <c r="B2" s="314"/>
      <c r="C2" s="314"/>
      <c r="D2" s="314"/>
      <c r="E2" s="314"/>
      <c r="F2" s="314"/>
      <c r="G2" s="314"/>
      <c r="H2" s="314"/>
      <c r="I2" s="314"/>
      <c r="J2" s="314"/>
      <c r="K2" s="314"/>
      <c r="L2" s="314"/>
      <c r="M2" s="314"/>
      <c r="N2" s="247"/>
    </row>
    <row r="3" spans="1:15" ht="15.75" x14ac:dyDescent="0.25">
      <c r="A3" s="317"/>
      <c r="B3" s="317"/>
      <c r="C3" s="317"/>
      <c r="D3" s="317"/>
      <c r="E3" s="317"/>
      <c r="F3" s="317"/>
      <c r="G3" s="317"/>
      <c r="H3" s="317"/>
      <c r="I3" s="317"/>
      <c r="J3" s="317"/>
      <c r="K3" s="317"/>
      <c r="L3" s="317"/>
      <c r="M3" s="244"/>
    </row>
    <row r="5" spans="1:15" ht="18.75" x14ac:dyDescent="0.3">
      <c r="A5" s="318" t="s">
        <v>80</v>
      </c>
      <c r="B5" s="318"/>
      <c r="C5" s="318"/>
      <c r="D5" s="318"/>
      <c r="E5" s="318"/>
      <c r="F5" s="318"/>
      <c r="G5" s="318"/>
      <c r="H5" s="318"/>
      <c r="I5" s="318"/>
      <c r="J5" s="318"/>
      <c r="K5" s="318"/>
      <c r="L5" s="318"/>
    </row>
    <row r="6" spans="1:15" ht="15.75" x14ac:dyDescent="0.25">
      <c r="A6" s="317"/>
      <c r="B6" s="317"/>
      <c r="C6" s="317"/>
      <c r="D6" s="317"/>
      <c r="E6" s="317"/>
      <c r="F6" s="317"/>
      <c r="G6" s="317"/>
      <c r="H6" s="317"/>
      <c r="I6" s="317"/>
      <c r="J6" s="317"/>
      <c r="K6" s="317"/>
      <c r="L6" s="317"/>
    </row>
    <row r="7" spans="1:15" ht="15.75" x14ac:dyDescent="0.25">
      <c r="A7" s="317"/>
      <c r="B7" s="317"/>
      <c r="C7" s="317"/>
      <c r="D7" s="317"/>
      <c r="E7" s="317"/>
      <c r="F7" s="317"/>
      <c r="G7" s="317"/>
      <c r="H7" s="317"/>
      <c r="I7" s="317"/>
      <c r="J7" s="317"/>
      <c r="K7" s="317"/>
      <c r="L7" s="317"/>
    </row>
    <row r="9" spans="1:15" x14ac:dyDescent="0.25">
      <c r="B9" s="315" t="s">
        <v>81</v>
      </c>
      <c r="C9" s="315"/>
      <c r="D9" s="315"/>
      <c r="F9" s="315" t="s">
        <v>82</v>
      </c>
      <c r="G9" s="315"/>
      <c r="H9" s="315"/>
      <c r="J9" s="316" t="s">
        <v>83</v>
      </c>
      <c r="K9" s="316"/>
      <c r="L9" s="316"/>
    </row>
    <row r="11" spans="1:15" x14ac:dyDescent="0.25">
      <c r="A11" s="125" t="s">
        <v>84</v>
      </c>
      <c r="B11" s="126" t="s">
        <v>85</v>
      </c>
      <c r="C11" s="126" t="s">
        <v>86</v>
      </c>
      <c r="D11" s="126" t="s">
        <v>87</v>
      </c>
      <c r="E11" s="127" t="s">
        <v>88</v>
      </c>
      <c r="F11" s="126" t="s">
        <v>89</v>
      </c>
      <c r="G11" s="126" t="s">
        <v>86</v>
      </c>
      <c r="H11" s="126" t="s">
        <v>87</v>
      </c>
      <c r="I11" s="127" t="s">
        <v>84</v>
      </c>
      <c r="J11" s="126" t="s">
        <v>89</v>
      </c>
      <c r="K11" s="126" t="s">
        <v>86</v>
      </c>
      <c r="L11" s="126" t="s">
        <v>87</v>
      </c>
      <c r="N11" s="247" t="s">
        <v>127</v>
      </c>
    </row>
    <row r="12" spans="1:15" ht="9" customHeight="1" x14ac:dyDescent="0.25"/>
    <row r="13" spans="1:15" x14ac:dyDescent="0.25">
      <c r="A13" s="128" t="s">
        <v>90</v>
      </c>
      <c r="N13" s="142">
        <v>150</v>
      </c>
      <c r="O13" s="143" t="s">
        <v>1</v>
      </c>
    </row>
    <row r="14" spans="1:15" x14ac:dyDescent="0.25">
      <c r="A14" s="135" t="s">
        <v>91</v>
      </c>
      <c r="B14" s="136">
        <v>1149.5817492067874</v>
      </c>
      <c r="C14" s="136">
        <v>1173.0077121900104</v>
      </c>
      <c r="D14" s="137">
        <v>2.0377813930489812E-2</v>
      </c>
      <c r="E14" s="138"/>
      <c r="F14" s="139">
        <v>217.6851979583391</v>
      </c>
      <c r="G14" s="139">
        <v>320.22354173943415</v>
      </c>
      <c r="H14" s="137">
        <v>0.47103957799059437</v>
      </c>
      <c r="I14" s="138" t="s">
        <v>84</v>
      </c>
      <c r="J14" s="136">
        <v>614.02840400925209</v>
      </c>
      <c r="K14" s="136">
        <v>877.37288644322166</v>
      </c>
      <c r="L14" s="137">
        <v>0.42887996827912467</v>
      </c>
      <c r="N14" s="142">
        <v>110</v>
      </c>
      <c r="O14" s="143" t="s">
        <v>2</v>
      </c>
    </row>
    <row r="15" spans="1:15" x14ac:dyDescent="0.25">
      <c r="A15" s="125" t="s">
        <v>92</v>
      </c>
      <c r="B15" s="129">
        <v>887.30586563663974</v>
      </c>
      <c r="C15" s="129">
        <v>695.64907020607745</v>
      </c>
      <c r="D15" s="130">
        <v>-0.21599856695757219</v>
      </c>
      <c r="F15" s="131">
        <v>990.75734584080578</v>
      </c>
      <c r="G15" s="131">
        <v>773.73384561648618</v>
      </c>
      <c r="H15" s="130">
        <v>-0.21904808592677424</v>
      </c>
      <c r="I15" t="s">
        <v>84</v>
      </c>
      <c r="J15" s="129">
        <v>1034.9967694680031</v>
      </c>
      <c r="K15" s="129">
        <v>766.59663431715865</v>
      </c>
      <c r="L15" s="130">
        <v>-0.2593246115046372</v>
      </c>
      <c r="N15" s="142">
        <v>70</v>
      </c>
      <c r="O15" s="143" t="s">
        <v>3</v>
      </c>
    </row>
    <row r="16" spans="1:15" x14ac:dyDescent="0.25">
      <c r="A16" s="135" t="s">
        <v>93</v>
      </c>
      <c r="B16" s="136">
        <v>120.79730721478826</v>
      </c>
      <c r="C16" s="136">
        <v>195.2328075445337</v>
      </c>
      <c r="D16" s="137">
        <v>0.61620165255333514</v>
      </c>
      <c r="E16" s="138"/>
      <c r="F16" s="139">
        <v>157.26307076838185</v>
      </c>
      <c r="G16" s="139">
        <v>214.60006985679357</v>
      </c>
      <c r="H16" s="137">
        <v>0.36459290034376884</v>
      </c>
      <c r="I16" s="138" t="s">
        <v>84</v>
      </c>
      <c r="J16" s="136">
        <v>124.32902081727062</v>
      </c>
      <c r="K16" s="136">
        <v>132.04507853926964</v>
      </c>
      <c r="L16" s="137">
        <v>6.2061598098962743E-2</v>
      </c>
      <c r="N16" s="142">
        <v>100</v>
      </c>
      <c r="O16" s="143" t="s">
        <v>4</v>
      </c>
    </row>
    <row r="17" spans="1:15" x14ac:dyDescent="0.25">
      <c r="A17" s="132" t="s">
        <v>94</v>
      </c>
      <c r="B17" s="133">
        <v>2157.6849220582153</v>
      </c>
      <c r="C17" s="133">
        <v>2063.8895899406216</v>
      </c>
      <c r="D17" s="134">
        <v>-4.3470356194602482E-2</v>
      </c>
      <c r="N17" s="142">
        <v>900</v>
      </c>
      <c r="O17" s="143" t="s">
        <v>5</v>
      </c>
    </row>
    <row r="18" spans="1:15" x14ac:dyDescent="0.25">
      <c r="N18" s="142">
        <v>1000</v>
      </c>
      <c r="O18" s="143" t="s">
        <v>6</v>
      </c>
    </row>
    <row r="19" spans="1:15" x14ac:dyDescent="0.25">
      <c r="A19" s="128" t="s">
        <v>95</v>
      </c>
      <c r="N19" s="142">
        <v>150</v>
      </c>
      <c r="O19" s="143" t="s">
        <v>7</v>
      </c>
    </row>
    <row r="20" spans="1:15" x14ac:dyDescent="0.25">
      <c r="A20" s="135" t="s">
        <v>96</v>
      </c>
      <c r="B20" s="136">
        <v>167.1008939164023</v>
      </c>
      <c r="C20" s="136">
        <v>171.54652602165558</v>
      </c>
      <c r="D20" s="137">
        <v>2.6604478294875878E-2</v>
      </c>
      <c r="E20" s="138"/>
      <c r="F20" s="139">
        <v>1948.4066767830047</v>
      </c>
      <c r="G20" s="139">
        <v>1910.4435906391896</v>
      </c>
      <c r="H20" s="137">
        <v>-1.948416960184907E-2</v>
      </c>
      <c r="I20" s="138" t="s">
        <v>84</v>
      </c>
      <c r="J20" s="136">
        <v>149.96361603700848</v>
      </c>
      <c r="K20" s="136">
        <v>150.53487543771885</v>
      </c>
      <c r="L20" s="137">
        <v>3.8093199924533528E-3</v>
      </c>
      <c r="M20" s="245"/>
      <c r="N20" s="142">
        <v>15</v>
      </c>
      <c r="O20" s="143" t="s">
        <v>8</v>
      </c>
    </row>
    <row r="21" spans="1:15" x14ac:dyDescent="0.25">
      <c r="A21" s="135" t="s">
        <v>97</v>
      </c>
      <c r="B21" s="136">
        <v>203.5417188577735</v>
      </c>
      <c r="C21" s="136">
        <v>207.27480544882988</v>
      </c>
      <c r="D21" s="137">
        <v>1.8340645898077056E-2</v>
      </c>
      <c r="E21" s="138"/>
      <c r="F21" s="139">
        <v>1852.3934335770452</v>
      </c>
      <c r="G21" s="139">
        <v>1850.9256025148445</v>
      </c>
      <c r="H21" s="137">
        <v>-7.9239703380198782E-4</v>
      </c>
      <c r="I21" s="138" t="s">
        <v>84</v>
      </c>
      <c r="J21" s="136">
        <v>148.44986892829607</v>
      </c>
      <c r="K21" s="136">
        <v>147.34023011505755</v>
      </c>
      <c r="L21" s="137">
        <v>-7.4748386189178381E-3</v>
      </c>
      <c r="M21" s="246"/>
      <c r="N21" s="142">
        <v>275</v>
      </c>
      <c r="O21" s="143" t="s">
        <v>9</v>
      </c>
    </row>
    <row r="22" spans="1:15" x14ac:dyDescent="0.25">
      <c r="A22" s="125" t="s">
        <v>98</v>
      </c>
      <c r="B22" s="129">
        <v>33.220251069112983</v>
      </c>
      <c r="C22" s="129">
        <v>43.600933286762135</v>
      </c>
      <c r="D22" s="130">
        <v>0.31248054676205456</v>
      </c>
      <c r="F22" s="131">
        <v>32.280314526141538</v>
      </c>
      <c r="G22" s="131">
        <v>29.339853300733495</v>
      </c>
      <c r="H22" s="130">
        <v>-9.1091467619585059E-2</v>
      </c>
      <c r="I22" t="s">
        <v>84</v>
      </c>
      <c r="J22" s="129">
        <v>33.007702390131072</v>
      </c>
      <c r="K22" s="129">
        <v>33.226645322661334</v>
      </c>
      <c r="L22" s="130">
        <v>6.6330861185819054E-3</v>
      </c>
      <c r="N22" s="142">
        <v>375</v>
      </c>
      <c r="O22" s="143" t="s">
        <v>10</v>
      </c>
    </row>
    <row r="23" spans="1:15" x14ac:dyDescent="0.25">
      <c r="A23" s="125" t="s">
        <v>99</v>
      </c>
      <c r="B23" s="129">
        <v>69.400035867016143</v>
      </c>
      <c r="C23" s="129">
        <v>57.754059378274533</v>
      </c>
      <c r="D23" s="130">
        <v>-0.16780937276541971</v>
      </c>
      <c r="F23" s="131">
        <v>177.1278797075459</v>
      </c>
      <c r="G23" s="131">
        <v>175.20083828152286</v>
      </c>
      <c r="H23" s="130">
        <v>-1.0879379514985204E-2</v>
      </c>
      <c r="I23" t="s">
        <v>84</v>
      </c>
      <c r="J23" s="129">
        <v>58.643153430994602</v>
      </c>
      <c r="K23" s="129">
        <v>43.486423211605803</v>
      </c>
      <c r="L23" s="130">
        <v>-0.25845694395039182</v>
      </c>
      <c r="N23" s="142">
        <v>1100</v>
      </c>
      <c r="O23" s="143" t="s">
        <v>11</v>
      </c>
    </row>
    <row r="24" spans="1:15" x14ac:dyDescent="0.25">
      <c r="A24" s="125" t="s">
        <v>100</v>
      </c>
      <c r="B24" s="129">
        <v>49.161139467512768</v>
      </c>
      <c r="C24" s="129">
        <v>65.693909884736286</v>
      </c>
      <c r="D24" s="130">
        <v>0.33629754306547133</v>
      </c>
      <c r="F24" s="131">
        <v>394.81307766588498</v>
      </c>
      <c r="G24" s="131">
        <v>414.9493538246594</v>
      </c>
      <c r="H24" s="130">
        <v>5.1002049571962187E-2</v>
      </c>
      <c r="I24" t="s">
        <v>84</v>
      </c>
      <c r="J24" s="129">
        <v>47.408858905165765</v>
      </c>
      <c r="K24" s="129">
        <v>43.850613306653329</v>
      </c>
      <c r="L24" s="130">
        <v>-7.5054445111833776E-2</v>
      </c>
      <c r="N24" s="142">
        <v>4000</v>
      </c>
      <c r="O24" s="143" t="s">
        <v>55</v>
      </c>
    </row>
    <row r="25" spans="1:15" x14ac:dyDescent="0.25">
      <c r="A25" s="125" t="s">
        <v>101</v>
      </c>
      <c r="B25" s="129">
        <v>387.45154366119471</v>
      </c>
      <c r="C25" s="129">
        <v>359.58637513098148</v>
      </c>
      <c r="D25" s="130">
        <v>-7.1919105720688006E-2</v>
      </c>
      <c r="F25" s="131">
        <v>4329.7006483652922</v>
      </c>
      <c r="G25" s="131">
        <v>4083.2692979392245</v>
      </c>
      <c r="H25" s="130">
        <v>-5.6916486944451797E-2</v>
      </c>
      <c r="I25" t="s">
        <v>84</v>
      </c>
      <c r="J25" s="129">
        <v>395.22492675404777</v>
      </c>
      <c r="K25" s="129">
        <v>279.81848524262131</v>
      </c>
      <c r="L25" s="130">
        <v>-0.29200193029131738</v>
      </c>
      <c r="N25" s="142">
        <v>1400</v>
      </c>
      <c r="O25" s="143" t="s">
        <v>12</v>
      </c>
    </row>
    <row r="26" spans="1:15" x14ac:dyDescent="0.25">
      <c r="A26" s="132" t="s">
        <v>102</v>
      </c>
      <c r="B26" s="133">
        <v>909.8755828390124</v>
      </c>
      <c r="C26" s="133">
        <v>905.45660915123995</v>
      </c>
      <c r="D26" s="134">
        <v>-4.8566790571346885E-3</v>
      </c>
    </row>
    <row r="28" spans="1:15" x14ac:dyDescent="0.25">
      <c r="A28" s="128" t="s">
        <v>103</v>
      </c>
    </row>
    <row r="29" spans="1:15" x14ac:dyDescent="0.25">
      <c r="A29" s="135" t="s">
        <v>104</v>
      </c>
      <c r="B29" s="136">
        <v>226.72371085666992</v>
      </c>
      <c r="C29" s="136">
        <v>203.42965840027941</v>
      </c>
      <c r="D29" s="137">
        <v>-0.10274202185723988</v>
      </c>
      <c r="E29" s="138"/>
      <c r="F29" s="139">
        <v>1974.0653883294251</v>
      </c>
      <c r="G29" s="139">
        <v>1469.507509605309</v>
      </c>
      <c r="H29" s="137">
        <v>-0.2555932957981214</v>
      </c>
      <c r="I29" s="138" t="s">
        <v>84</v>
      </c>
      <c r="J29" s="136">
        <v>166.50239013107171</v>
      </c>
      <c r="K29" s="136">
        <v>258.25919359679841</v>
      </c>
      <c r="L29" s="137">
        <v>0.55108400181820327</v>
      </c>
    </row>
    <row r="30" spans="1:15" x14ac:dyDescent="0.25">
      <c r="A30" s="135" t="s">
        <v>105</v>
      </c>
      <c r="B30" s="136">
        <v>216.38350669057803</v>
      </c>
      <c r="C30" s="136">
        <v>227.69206566538591</v>
      </c>
      <c r="D30" s="137">
        <v>5.2261649456392174E-2</v>
      </c>
      <c r="E30" s="138"/>
      <c r="F30" s="139">
        <v>5880.8111463650166</v>
      </c>
      <c r="G30" s="139">
        <v>6076.7027593433459</v>
      </c>
      <c r="H30" s="137">
        <v>3.3310305007738884E-2</v>
      </c>
      <c r="I30" s="138" t="s">
        <v>84</v>
      </c>
      <c r="J30" s="136">
        <v>184.32962991518889</v>
      </c>
      <c r="K30" s="136">
        <v>194.45063331665833</v>
      </c>
      <c r="L30" s="137">
        <v>5.4907089034607018E-2</v>
      </c>
    </row>
    <row r="31" spans="1:15" x14ac:dyDescent="0.25">
      <c r="A31" s="125" t="s">
        <v>106</v>
      </c>
      <c r="B31" s="129">
        <v>46.968312870740803</v>
      </c>
      <c r="C31" s="129">
        <v>67.553503318197684</v>
      </c>
      <c r="D31" s="130">
        <v>0.43827826015612648</v>
      </c>
      <c r="F31" s="131">
        <v>328.59704786867161</v>
      </c>
      <c r="G31" s="131">
        <v>502.96891372685991</v>
      </c>
      <c r="H31" s="130">
        <v>0.53065560688749236</v>
      </c>
      <c r="I31" t="s">
        <v>84</v>
      </c>
      <c r="J31" s="129">
        <v>27.860624518118737</v>
      </c>
      <c r="K31" s="129">
        <v>75.251969984992485</v>
      </c>
      <c r="L31" s="130">
        <v>1.7010151885164491</v>
      </c>
    </row>
    <row r="32" spans="1:15" x14ac:dyDescent="0.25">
      <c r="A32" s="135" t="s">
        <v>107</v>
      </c>
      <c r="B32" s="136">
        <v>81.291640226238115</v>
      </c>
      <c r="C32" s="136">
        <v>65.680614739783437</v>
      </c>
      <c r="D32" s="137">
        <v>-0.19203728013124752</v>
      </c>
      <c r="E32" s="138"/>
      <c r="F32" s="139">
        <v>1473.3066629879986</v>
      </c>
      <c r="G32" s="139">
        <v>1378.9731051344743</v>
      </c>
      <c r="H32" s="137">
        <v>-6.4028460756572814E-2</v>
      </c>
      <c r="I32" s="138" t="s">
        <v>84</v>
      </c>
      <c r="J32" s="136">
        <v>111.39091750192752</v>
      </c>
      <c r="K32" s="136">
        <v>124.98562081040521</v>
      </c>
      <c r="L32" s="137">
        <v>0.12204498906513134</v>
      </c>
      <c r="M32" s="246"/>
    </row>
    <row r="33" spans="1:12" x14ac:dyDescent="0.25">
      <c r="A33" s="125" t="s">
        <v>108</v>
      </c>
      <c r="B33" s="129">
        <v>457.2111574010209</v>
      </c>
      <c r="C33" s="129">
        <v>693.80246175340551</v>
      </c>
      <c r="D33" s="130">
        <v>0.51746616529935174</v>
      </c>
      <c r="F33" s="131">
        <v>14259.62201682991</v>
      </c>
      <c r="G33" s="131">
        <v>17921.620677610896</v>
      </c>
      <c r="H33" s="130">
        <v>0.25680895724016489</v>
      </c>
      <c r="I33" t="s">
        <v>84</v>
      </c>
      <c r="J33" s="129">
        <v>596.22478797224369</v>
      </c>
      <c r="K33" s="129">
        <v>564.57275037518752</v>
      </c>
      <c r="L33" s="130">
        <v>-5.3087423125604223E-2</v>
      </c>
    </row>
    <row r="34" spans="1:12" x14ac:dyDescent="0.25">
      <c r="A34" s="132" t="s">
        <v>109</v>
      </c>
      <c r="B34" s="133">
        <v>1028.5783280452479</v>
      </c>
      <c r="C34" s="133">
        <v>1258.1583038770518</v>
      </c>
      <c r="D34" s="134">
        <v>0.22320125708666941</v>
      </c>
    </row>
    <row r="36" spans="1:12" x14ac:dyDescent="0.25">
      <c r="A36" s="132" t="s">
        <v>110</v>
      </c>
      <c r="B36" s="133">
        <v>4096.1388329424753</v>
      </c>
      <c r="C36" s="133">
        <v>4227.5045029689136</v>
      </c>
      <c r="D36" s="134">
        <v>3.2070609758134409E-2</v>
      </c>
    </row>
  </sheetData>
  <sheetProtection algorithmName="SHA-512" hashValue="MJmBHlGF/8dqsy1pVd7JWQbbHt3sSti8IrBHYQIob42TuMFB2JNJOtWgyNOtyAluWb6U0kbjR+DZ5IDmPSMVew==" saltValue="UNDjiDUVnY19fpR8/NveYw==" spinCount="100000" sheet="1" selectLockedCells="1"/>
  <mergeCells count="9">
    <mergeCell ref="A1:M1"/>
    <mergeCell ref="A2:M2"/>
    <mergeCell ref="B9:D9"/>
    <mergeCell ref="F9:H9"/>
    <mergeCell ref="J9:L9"/>
    <mergeCell ref="A3:L3"/>
    <mergeCell ref="A5:L5"/>
    <mergeCell ref="A6:L6"/>
    <mergeCell ref="A7:L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25"/>
  <sheetViews>
    <sheetView showGridLines="0" workbookViewId="0">
      <selection activeCell="L17" sqref="L17"/>
    </sheetView>
  </sheetViews>
  <sheetFormatPr defaultRowHeight="15" x14ac:dyDescent="0.25"/>
  <cols>
    <col min="1" max="1" width="15.85546875" customWidth="1"/>
    <col min="2" max="5" width="12.28515625" customWidth="1"/>
    <col min="6" max="6" width="3.7109375" customWidth="1"/>
    <col min="7" max="9" width="12.7109375" customWidth="1"/>
  </cols>
  <sheetData>
    <row r="1" spans="1:11" s="144" customFormat="1" ht="17.45" customHeight="1" x14ac:dyDescent="0.25">
      <c r="B1" s="319" t="s">
        <v>78</v>
      </c>
      <c r="C1" s="320"/>
      <c r="D1" s="321"/>
      <c r="E1" s="145"/>
      <c r="F1" s="145"/>
      <c r="G1" s="319" t="s">
        <v>78</v>
      </c>
      <c r="H1" s="320"/>
      <c r="I1" s="321"/>
    </row>
    <row r="2" spans="1:11" s="144" customFormat="1" ht="17.45" customHeight="1" x14ac:dyDescent="0.25">
      <c r="B2" s="146" t="s">
        <v>67</v>
      </c>
      <c r="C2" s="147" t="s">
        <v>68</v>
      </c>
      <c r="D2" s="148" t="s">
        <v>17</v>
      </c>
      <c r="E2" s="145"/>
      <c r="F2" s="145"/>
      <c r="G2" s="146" t="str">
        <f>B2</f>
        <v>PPO</v>
      </c>
      <c r="H2" s="147" t="str">
        <f>C2</f>
        <v>ACO</v>
      </c>
      <c r="I2" s="148" t="str">
        <f>D2</f>
        <v>HDHP</v>
      </c>
    </row>
    <row r="3" spans="1:11" s="144" customFormat="1" ht="17.45" customHeight="1" x14ac:dyDescent="0.25">
      <c r="A3" s="145" t="s">
        <v>18</v>
      </c>
      <c r="B3" s="149">
        <v>123.1</v>
      </c>
      <c r="C3" s="150">
        <v>106.32</v>
      </c>
      <c r="D3" s="151">
        <v>38.21</v>
      </c>
      <c r="G3" s="152">
        <v>123.1</v>
      </c>
      <c r="H3" s="153">
        <v>106.32</v>
      </c>
      <c r="I3" s="154">
        <v>38.21</v>
      </c>
    </row>
    <row r="4" spans="1:11" s="144" customFormat="1" ht="17.45" customHeight="1" x14ac:dyDescent="0.25">
      <c r="A4" s="145" t="s">
        <v>20</v>
      </c>
      <c r="B4" s="149">
        <v>457.72</v>
      </c>
      <c r="C4" s="150">
        <v>423.01</v>
      </c>
      <c r="D4" s="151">
        <v>284.95999999999998</v>
      </c>
      <c r="G4" s="152">
        <v>457.72</v>
      </c>
      <c r="H4" s="153">
        <v>423.01</v>
      </c>
      <c r="I4" s="154">
        <v>284.95999999999998</v>
      </c>
    </row>
    <row r="5" spans="1:11" s="144" customFormat="1" ht="17.45" customHeight="1" x14ac:dyDescent="0.25">
      <c r="A5" s="145" t="s">
        <v>21</v>
      </c>
      <c r="B5" s="149">
        <v>391.68</v>
      </c>
      <c r="C5" s="150">
        <v>361.47</v>
      </c>
      <c r="D5" s="151">
        <v>227.09</v>
      </c>
      <c r="G5" s="152">
        <v>391.68</v>
      </c>
      <c r="H5" s="153">
        <v>361.47</v>
      </c>
      <c r="I5" s="154">
        <v>227.09</v>
      </c>
    </row>
    <row r="6" spans="1:11" s="144" customFormat="1" ht="17.45" customHeight="1" x14ac:dyDescent="0.25">
      <c r="A6" s="145" t="s">
        <v>16</v>
      </c>
      <c r="B6" s="149">
        <v>707.26</v>
      </c>
      <c r="C6" s="150">
        <v>655.79</v>
      </c>
      <c r="D6" s="151">
        <v>448.73</v>
      </c>
      <c r="G6" s="155">
        <v>707.26</v>
      </c>
      <c r="H6" s="156">
        <v>655.79</v>
      </c>
      <c r="I6" s="157">
        <v>448.73</v>
      </c>
    </row>
    <row r="7" spans="1:11" s="144" customFormat="1" ht="17.45" customHeight="1" x14ac:dyDescent="0.25">
      <c r="A7" s="145"/>
      <c r="B7" s="319" t="s">
        <v>115</v>
      </c>
      <c r="C7" s="320"/>
      <c r="D7" s="320"/>
      <c r="E7" s="321"/>
    </row>
    <row r="8" spans="1:11" s="144" customFormat="1" ht="17.45" customHeight="1" x14ac:dyDescent="0.25">
      <c r="A8" s="145"/>
      <c r="B8" s="146" t="s">
        <v>111</v>
      </c>
      <c r="C8" s="322" t="s">
        <v>114</v>
      </c>
      <c r="D8" s="322"/>
      <c r="E8" s="167"/>
    </row>
    <row r="9" spans="1:11" s="144" customFormat="1" ht="17.45" customHeight="1" x14ac:dyDescent="0.25">
      <c r="A9" s="145" t="s">
        <v>18</v>
      </c>
      <c r="B9" s="158">
        <v>600</v>
      </c>
      <c r="C9" s="159">
        <f>IF(EE_HSA_Contrib&gt;0,EE_HSA_Contrib*0.5,0)</f>
        <v>15</v>
      </c>
      <c r="D9" s="159">
        <f>IF(C9*12&gt;300,300,C9*12)</f>
        <v>180</v>
      </c>
      <c r="E9" s="160">
        <f>B9+D9</f>
        <v>780</v>
      </c>
      <c r="F9" s="164"/>
      <c r="G9" s="164"/>
      <c r="H9" s="164"/>
      <c r="I9" s="164"/>
      <c r="J9" s="164"/>
      <c r="K9" s="165"/>
    </row>
    <row r="10" spans="1:11" s="144" customFormat="1" ht="17.45" customHeight="1" x14ac:dyDescent="0.25">
      <c r="A10" s="145" t="s">
        <v>20</v>
      </c>
      <c r="B10" s="158">
        <v>1200</v>
      </c>
      <c r="C10" s="159">
        <f>IF(EE_HSA_Contrib&gt;0,EE_HSA_Contrib*0.5,0)</f>
        <v>15</v>
      </c>
      <c r="D10" s="159">
        <f>IF(C10*12&gt;600,600,C10*12)</f>
        <v>180</v>
      </c>
      <c r="E10" s="160">
        <f t="shared" ref="E10:E12" si="0">B10+D10</f>
        <v>1380</v>
      </c>
      <c r="F10" s="164"/>
      <c r="G10" s="164"/>
      <c r="H10" s="164"/>
      <c r="I10" s="164"/>
      <c r="J10" s="164"/>
      <c r="K10" s="165"/>
    </row>
    <row r="11" spans="1:11" s="144" customFormat="1" ht="17.45" customHeight="1" x14ac:dyDescent="0.25">
      <c r="A11" s="145" t="s">
        <v>21</v>
      </c>
      <c r="B11" s="158">
        <v>1200</v>
      </c>
      <c r="C11" s="159">
        <f>IF(EE_HSA_Contrib&gt;0,EE_HSA_Contrib*0.5,0)</f>
        <v>15</v>
      </c>
      <c r="D11" s="159">
        <f t="shared" ref="D11" si="1">IF(C11*12&gt;600,600,C11*12)</f>
        <v>180</v>
      </c>
      <c r="E11" s="160">
        <f t="shared" si="0"/>
        <v>1380</v>
      </c>
      <c r="F11" s="164"/>
      <c r="G11" s="164"/>
      <c r="H11" s="164"/>
      <c r="I11" s="164"/>
      <c r="J11" s="164"/>
      <c r="K11" s="165"/>
    </row>
    <row r="12" spans="1:11" s="144" customFormat="1" ht="17.45" customHeight="1" x14ac:dyDescent="0.25">
      <c r="A12" s="145" t="s">
        <v>16</v>
      </c>
      <c r="B12" s="161">
        <v>1200</v>
      </c>
      <c r="C12" s="162">
        <f>IF(EE_HSA_Contrib&gt;0,EE_HSA_Contrib*0.5,0)</f>
        <v>15</v>
      </c>
      <c r="D12" s="162">
        <f>IF(C12*12&gt;600,600,C12*12)</f>
        <v>180</v>
      </c>
      <c r="E12" s="163">
        <f t="shared" si="0"/>
        <v>1380</v>
      </c>
      <c r="F12" s="164"/>
      <c r="G12" s="164"/>
      <c r="H12" s="164"/>
      <c r="I12" s="164"/>
      <c r="J12" s="164"/>
      <c r="K12" s="165"/>
    </row>
    <row r="13" spans="1:11" x14ac:dyDescent="0.25">
      <c r="A13" s="111"/>
      <c r="B13" s="1"/>
      <c r="C13" s="1"/>
      <c r="F13" s="166"/>
      <c r="G13" s="166"/>
      <c r="H13" s="166"/>
      <c r="I13" s="166"/>
      <c r="J13" s="166"/>
      <c r="K13" s="166"/>
    </row>
    <row r="25" spans="2:2" x14ac:dyDescent="0.25">
      <c r="B25">
        <f>3650-600</f>
        <v>3050</v>
      </c>
    </row>
  </sheetData>
  <sheetProtection algorithmName="SHA-512" hashValue="n1uEmOQ/q2jekJkulHGDMrTh6kBncl8iaE6QAnJEk3u+M6KwtxvFKKbFAvf9+N6k1NZnb0nhopHWJzlVfXFPiw==" saltValue="uCprVNwD76VuMfTPSXb1xQ==" spinCount="100000" sheet="1" objects="1" scenarios="1"/>
  <mergeCells count="4">
    <mergeCell ref="B1:D1"/>
    <mergeCell ref="G1:I1"/>
    <mergeCell ref="C8:D8"/>
    <mergeCell ref="B7:E7"/>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A9678753F041498B625649BAFAF29D" ma:contentTypeVersion="13" ma:contentTypeDescription="Create a new document." ma:contentTypeScope="" ma:versionID="4c10313506c896fd767f6d6a03e1212d">
  <xsd:schema xmlns:xsd="http://www.w3.org/2001/XMLSchema" xmlns:xs="http://www.w3.org/2001/XMLSchema" xmlns:p="http://schemas.microsoft.com/office/2006/metadata/properties" xmlns:ns3="b98ba3f1-b2e9-45eb-a65e-ea3c513dff4b" xmlns:ns4="d866d90b-3e38-4ac7-89ce-ead2a2d41ef1" targetNamespace="http://schemas.microsoft.com/office/2006/metadata/properties" ma:root="true" ma:fieldsID="bd8abff79019db9c12e91baf2cba3765" ns3:_="" ns4:_="">
    <xsd:import namespace="b98ba3f1-b2e9-45eb-a65e-ea3c513dff4b"/>
    <xsd:import namespace="d866d90b-3e38-4ac7-89ce-ead2a2d41ef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8ba3f1-b2e9-45eb-a65e-ea3c513dff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66d90b-3e38-4ac7-89ce-ead2a2d41ef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561F00-8F4B-4E15-AF03-E87082B4F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8ba3f1-b2e9-45eb-a65e-ea3c513dff4b"/>
    <ds:schemaRef ds:uri="d866d90b-3e38-4ac7-89ce-ead2a2d41e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51826A-8BE9-498D-A522-A98E55688369}">
  <ds:schemaRefs>
    <ds:schemaRef ds:uri="http://schemas.microsoft.com/sharepoint/v3/contenttype/forms"/>
  </ds:schemaRefs>
</ds:datastoreItem>
</file>

<file path=customXml/itemProps3.xml><?xml version="1.0" encoding="utf-8"?>
<ds:datastoreItem xmlns:ds="http://schemas.openxmlformats.org/officeDocument/2006/customXml" ds:itemID="{2A3A464D-9F2E-48BF-A736-4016BF747B7F}">
  <ds:schemaRef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purl.org/dc/elements/1.1/"/>
    <ds:schemaRef ds:uri="d866d90b-3e38-4ac7-89ce-ead2a2d41ef1"/>
    <ds:schemaRef ds:uri="b98ba3f1-b2e9-45eb-a65e-ea3c513dff4b"/>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Cost Calculator</vt:lpstr>
      <vt:lpstr>Tax Rates</vt:lpstr>
      <vt:lpstr>Allowed Cost</vt:lpstr>
      <vt:lpstr>Payroll Contributions</vt:lpstr>
      <vt:lpstr>EE_HSA_Contrib</vt:lpstr>
      <vt:lpstr>'Cost Calculator'!Print_Area</vt:lpstr>
      <vt:lpstr>tax_rate</vt:lpstr>
      <vt:lpstr>Tier</vt:lpstr>
    </vt:vector>
  </TitlesOfParts>
  <Company>NFP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Pino, Lindsay</dc:creator>
  <cp:lastModifiedBy>Becca Bonney</cp:lastModifiedBy>
  <cp:lastPrinted>2017-10-17T15:28:29Z</cp:lastPrinted>
  <dcterms:created xsi:type="dcterms:W3CDTF">2016-06-20T18:44:25Z</dcterms:created>
  <dcterms:modified xsi:type="dcterms:W3CDTF">2022-11-04T17:47:16Z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0x01010073A9678753F041498B625649BAFAF29D</vt:lpwstr>
  </property>
</Properties>
</file>